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S:\Service\QM_ASGU\Qualitätsmanagement\7_Managementsystem Vogt AG\7.1_Managementsystem-Dok\02-ASGU\Umweltregularien\Abgeklärt mit Lieferanten\"/>
    </mc:Choice>
  </mc:AlternateContent>
  <xr:revisionPtr revIDLastSave="0" documentId="13_ncr:1_{FF96F594-419C-4D95-A407-F12A0A3D8E8D}"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P3" i="4" l="1"/>
  <c r="E4" i="8" s="1"/>
  <c r="B8" i="5" s="1"/>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E5" i="7"/>
  <c r="J6" i="8"/>
  <c r="K6" i="8"/>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40" i="5"/>
  <c r="E40" i="5"/>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V53" i="5"/>
  <c r="E53" i="5"/>
  <c r="X53" i="5" s="1"/>
  <c r="V54" i="5"/>
  <c r="E54" i="5"/>
  <c r="X54" i="5" s="1"/>
  <c r="V55" i="5"/>
  <c r="E55" i="5"/>
  <c r="X55" i="5" s="1"/>
  <c r="V56" i="5"/>
  <c r="E56" i="5"/>
  <c r="V57" i="5"/>
  <c r="E57" i="5"/>
  <c r="X57" i="5" s="1"/>
  <c r="V58" i="5"/>
  <c r="E58" i="5"/>
  <c r="X58" i="5" s="1"/>
  <c r="V59" i="5"/>
  <c r="E59" i="5"/>
  <c r="X59" i="5" s="1"/>
  <c r="V60" i="5"/>
  <c r="E60" i="5"/>
  <c r="V61" i="5"/>
  <c r="V62" i="5"/>
  <c r="V63" i="5"/>
  <c r="E63" i="5"/>
  <c r="X63" i="5" s="1"/>
  <c r="V64" i="5"/>
  <c r="E64" i="5"/>
  <c r="V65" i="5"/>
  <c r="E65" i="5"/>
  <c r="X65" i="5" s="1"/>
  <c r="V66" i="5"/>
  <c r="E66" i="5"/>
  <c r="X66" i="5" s="1"/>
  <c r="V67" i="5"/>
  <c r="E67" i="5"/>
  <c r="X67" i="5" s="1"/>
  <c r="V68" i="5"/>
  <c r="E68" i="5"/>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V81" i="5"/>
  <c r="E81" i="5"/>
  <c r="X81" i="5" s="1"/>
  <c r="V82" i="5"/>
  <c r="E82" i="5"/>
  <c r="X82" i="5" s="1"/>
  <c r="V83" i="5"/>
  <c r="E83" i="5"/>
  <c r="X83" i="5" s="1"/>
  <c r="V84" i="5"/>
  <c r="E84" i="5"/>
  <c r="V85" i="5"/>
  <c r="E85" i="5"/>
  <c r="X85" i="5" s="1"/>
  <c r="V86" i="5"/>
  <c r="E86" i="5"/>
  <c r="X86" i="5" s="1"/>
  <c r="V87" i="5"/>
  <c r="V88" i="5"/>
  <c r="E88" i="5"/>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V344" i="5"/>
  <c r="E344" i="5"/>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B53" i="4" s="1"/>
  <c r="A37" i="6" s="1"/>
  <c r="A55" i="2"/>
  <c r="A73" i="2"/>
  <c r="B9" i="3"/>
  <c r="A3" i="2"/>
  <c r="A20" i="2"/>
  <c r="B17" i="3"/>
  <c r="B29" i="4"/>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I14" i="6"/>
  <c r="C14" i="6" s="1"/>
  <c r="J15" i="6"/>
  <c r="J16" i="6"/>
  <c r="J17" i="6"/>
  <c r="I17" i="6"/>
  <c r="C17" i="6" s="1"/>
  <c r="J25" i="6"/>
  <c r="B25" i="6"/>
  <c r="G25" i="6"/>
  <c r="H25" i="6"/>
  <c r="I25" i="6"/>
  <c r="C25" i="6" s="1"/>
  <c r="I26" i="6"/>
  <c r="C26" i="6" s="1"/>
  <c r="J37" i="6"/>
  <c r="F37" i="6"/>
  <c r="B37" i="6"/>
  <c r="G37" i="6"/>
  <c r="H37" i="6"/>
  <c r="I37" i="6"/>
  <c r="C37" i="6" s="1"/>
  <c r="J45" i="6"/>
  <c r="F45" i="6"/>
  <c r="B45" i="6"/>
  <c r="G45" i="6"/>
  <c r="H45" i="6"/>
  <c r="I45" i="6"/>
  <c r="C45" i="6" s="1"/>
  <c r="I46" i="6"/>
  <c r="C46" i="6" s="1"/>
  <c r="I54" i="6"/>
  <c r="C54" i="6" s="1"/>
  <c r="J63" i="6"/>
  <c r="F24" i="6"/>
  <c r="F26" i="6"/>
  <c r="F54" i="6"/>
  <c r="F63" i="6"/>
  <c r="H63" i="6"/>
  <c r="I63" i="6"/>
  <c r="C63" i="6" s="1"/>
  <c r="J64" i="6"/>
  <c r="J66" i="6"/>
  <c r="I67" i="6"/>
  <c r="A1" i="8"/>
  <c r="I19" i="6"/>
  <c r="C19" i="6" s="1"/>
  <c r="J26" i="6"/>
  <c r="B26" i="6"/>
  <c r="G26" i="6"/>
  <c r="H26" i="6"/>
  <c r="I27" i="6"/>
  <c r="C27" i="6" s="1"/>
  <c r="I39" i="6"/>
  <c r="J46" i="6"/>
  <c r="F46" i="6"/>
  <c r="B46" i="6"/>
  <c r="G46" i="6"/>
  <c r="H46" i="6"/>
  <c r="I47" i="6"/>
  <c r="C47" i="6" s="1"/>
  <c r="J54" i="6"/>
  <c r="H54" i="6"/>
  <c r="I55" i="6"/>
  <c r="C55" i="6" s="1"/>
  <c r="I56" i="6"/>
  <c r="F55" i="6"/>
  <c r="F56" i="6"/>
  <c r="H56" i="6"/>
  <c r="C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G19" i="6"/>
  <c r="H19" i="6"/>
  <c r="I20" i="6"/>
  <c r="C20" i="6" s="1"/>
  <c r="J27" i="6"/>
  <c r="B27" i="6"/>
  <c r="G27" i="6"/>
  <c r="H27" i="6"/>
  <c r="I29" i="6"/>
  <c r="C29" i="6" s="1"/>
  <c r="I30" i="6"/>
  <c r="I31" i="6"/>
  <c r="C31" i="6" s="1"/>
  <c r="I32" i="6"/>
  <c r="J39" i="6"/>
  <c r="F39" i="6"/>
  <c r="B39" i="6"/>
  <c r="G39" i="6"/>
  <c r="H39" i="6"/>
  <c r="C39" i="6"/>
  <c r="I40" i="6"/>
  <c r="C40" i="6" s="1"/>
  <c r="J47" i="6"/>
  <c r="F47" i="6"/>
  <c r="B47" i="6"/>
  <c r="G47" i="6"/>
  <c r="H47" i="6"/>
  <c r="J55" i="6"/>
  <c r="H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G20" i="6"/>
  <c r="H20" i="6"/>
  <c r="I21" i="6"/>
  <c r="C21" i="6" s="1"/>
  <c r="J29" i="6"/>
  <c r="F29" i="6"/>
  <c r="B29" i="6"/>
  <c r="G29" i="6"/>
  <c r="H29" i="6"/>
  <c r="J30" i="6"/>
  <c r="F30" i="6"/>
  <c r="B30" i="6"/>
  <c r="G30" i="6" s="1"/>
  <c r="H30" i="6" s="1"/>
  <c r="D30" i="6" s="1"/>
  <c r="J31" i="6"/>
  <c r="F31" i="6"/>
  <c r="B31" i="6"/>
  <c r="G31" i="6"/>
  <c r="H31" i="6"/>
  <c r="J32" i="6"/>
  <c r="F32" i="6"/>
  <c r="B32" i="6"/>
  <c r="G32" i="6"/>
  <c r="H32" i="6"/>
  <c r="C32" i="6"/>
  <c r="J40" i="6"/>
  <c r="F40" i="6"/>
  <c r="B40" i="6"/>
  <c r="G40" i="6"/>
  <c r="H40" i="6"/>
  <c r="I41" i="6"/>
  <c r="C41" i="6" s="1"/>
  <c r="I49" i="6"/>
  <c r="J57" i="6"/>
  <c r="F57" i="6"/>
  <c r="H57" i="6"/>
  <c r="I58" i="6"/>
  <c r="C58" i="6" s="1"/>
  <c r="L67" i="6"/>
  <c r="A1" i="7"/>
  <c r="D4" i="8"/>
  <c r="C3" i="6"/>
  <c r="I4" i="6"/>
  <c r="C4" i="6" s="1"/>
  <c r="I5" i="6"/>
  <c r="C5" i="6" s="1"/>
  <c r="J21" i="6"/>
  <c r="G21" i="6"/>
  <c r="H21" i="6"/>
  <c r="I22" i="6"/>
  <c r="C22" i="6" s="1"/>
  <c r="I34" i="6"/>
  <c r="C34" i="6" s="1"/>
  <c r="J41" i="6"/>
  <c r="F41" i="6"/>
  <c r="B41" i="6"/>
  <c r="G41" i="6"/>
  <c r="H41" i="6"/>
  <c r="I42" i="6"/>
  <c r="C42" i="6" s="1"/>
  <c r="J49" i="6"/>
  <c r="F49" i="6"/>
  <c r="B49" i="6"/>
  <c r="G49" i="6"/>
  <c r="H49" i="6"/>
  <c r="C49" i="6"/>
  <c r="I50" i="6"/>
  <c r="C50" i="6" s="1"/>
  <c r="J58" i="6"/>
  <c r="F58" i="6"/>
  <c r="H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G22" i="6"/>
  <c r="H22" i="6"/>
  <c r="J34" i="6"/>
  <c r="F34" i="6"/>
  <c r="B34" i="6"/>
  <c r="G34" i="6"/>
  <c r="H34" i="6"/>
  <c r="I35" i="6"/>
  <c r="C35" i="6" s="1"/>
  <c r="J42" i="6"/>
  <c r="F42" i="6"/>
  <c r="B42" i="6"/>
  <c r="G42" i="6"/>
  <c r="H42" i="6"/>
  <c r="J50" i="6"/>
  <c r="F50" i="6"/>
  <c r="B50" i="6"/>
  <c r="G50" i="6"/>
  <c r="H50" i="6"/>
  <c r="I51" i="6"/>
  <c r="C51" i="6" s="1"/>
  <c r="J59" i="6"/>
  <c r="F59" i="6"/>
  <c r="H59" i="6"/>
  <c r="I60" i="6"/>
  <c r="C60" i="6" s="1"/>
  <c r="C5" i="7"/>
  <c r="D1" i="6"/>
  <c r="J6" i="6"/>
  <c r="J7" i="6"/>
  <c r="J8" i="6"/>
  <c r="J9" i="6"/>
  <c r="J10" i="6"/>
  <c r="J11" i="6"/>
  <c r="J12" i="6"/>
  <c r="I24" i="6"/>
  <c r="J35" i="6"/>
  <c r="F35" i="6"/>
  <c r="B35" i="6"/>
  <c r="G35" i="6"/>
  <c r="H35" i="6"/>
  <c r="I36" i="6"/>
  <c r="C36" i="6" s="1"/>
  <c r="I44" i="6"/>
  <c r="C44" i="6" s="1"/>
  <c r="J51" i="6"/>
  <c r="F51" i="6"/>
  <c r="H51" i="6"/>
  <c r="I52" i="6"/>
  <c r="C52" i="6" s="1"/>
  <c r="J60" i="6"/>
  <c r="F60" i="6"/>
  <c r="H60" i="6"/>
  <c r="I62" i="6"/>
  <c r="C62" i="6" s="1"/>
  <c r="I65" i="6"/>
  <c r="F5" i="7"/>
  <c r="B10" i="4"/>
  <c r="A6" i="6" s="1"/>
  <c r="B18" i="4"/>
  <c r="A10" i="6" s="1"/>
  <c r="G25" i="4"/>
  <c r="G55" i="4" s="1"/>
  <c r="B44" i="4"/>
  <c r="A29" i="6" s="1"/>
  <c r="B49" i="4"/>
  <c r="A33" i="6" s="1"/>
  <c r="B85" i="4"/>
  <c r="A60" i="6" s="1"/>
  <c r="A4" i="5"/>
  <c r="I4" i="5"/>
  <c r="I15" i="6"/>
  <c r="C15" i="6" s="1"/>
  <c r="I16" i="6"/>
  <c r="C16" i="6" s="1"/>
  <c r="J24" i="6"/>
  <c r="B24" i="6"/>
  <c r="G24" i="6"/>
  <c r="H24" i="6"/>
  <c r="C24" i="6"/>
  <c r="J36" i="6"/>
  <c r="F36" i="6"/>
  <c r="B36" i="6"/>
  <c r="G36" i="6"/>
  <c r="H36" i="6"/>
  <c r="J44" i="6"/>
  <c r="F44" i="6"/>
  <c r="B44" i="6"/>
  <c r="G44" i="6"/>
  <c r="H44" i="6"/>
  <c r="J52" i="6"/>
  <c r="F52" i="6"/>
  <c r="B52" i="6"/>
  <c r="G52" i="6"/>
  <c r="H52" i="6"/>
  <c r="J62" i="6"/>
  <c r="F62" i="6"/>
  <c r="H62" i="6"/>
  <c r="I64" i="6"/>
  <c r="J65" i="6"/>
  <c r="I66" i="6"/>
  <c r="B61"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71" i="4"/>
  <c r="A52" i="6" s="1"/>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B33" i="4"/>
  <c r="A20" i="6" s="1"/>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D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2" i="6"/>
  <c r="D60" i="6"/>
  <c r="D58" i="6"/>
  <c r="D63" i="6"/>
  <c r="D62" i="6"/>
  <c r="D54" i="6"/>
  <c r="D57" i="6"/>
  <c r="D59" i="6"/>
  <c r="D55" i="6"/>
  <c r="D56" i="6"/>
  <c r="F43" i="5"/>
  <c r="E43" i="5"/>
  <c r="X43" i="5" s="1"/>
  <c r="H87" i="5"/>
  <c r="E87" i="5"/>
  <c r="X87" i="5" s="1"/>
  <c r="F103" i="5"/>
  <c r="E103" i="5"/>
  <c r="X103" i="5" s="1"/>
  <c r="I175" i="5"/>
  <c r="E175" i="5"/>
  <c r="X175"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X56" i="5"/>
  <c r="X60" i="5"/>
  <c r="X64" i="5"/>
  <c r="X68" i="5"/>
  <c r="X80" i="5"/>
  <c r="X88" i="5"/>
  <c r="X343" i="5"/>
  <c r="X40" i="5"/>
  <c r="X52" i="5"/>
  <c r="X84" i="5"/>
  <c r="X101" i="5"/>
  <c r="X344" i="5"/>
  <c r="X531"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A16" i="6"/>
  <c r="D6" i="6"/>
  <c r="B57" i="4"/>
  <c r="A40" i="6" s="1"/>
  <c r="A25" i="6"/>
  <c r="B63" i="4"/>
  <c r="A45" i="6" s="1"/>
  <c r="B69" i="4"/>
  <c r="A50" i="6" s="1"/>
  <c r="B51" i="4"/>
  <c r="A35" i="6" s="1"/>
  <c r="A17" i="6"/>
  <c r="B35" i="4"/>
  <c r="A22" i="6" s="1"/>
  <c r="D31" i="4"/>
  <c r="D55" i="4"/>
  <c r="D67" i="4"/>
  <c r="D49" i="4"/>
  <c r="D61" i="4"/>
  <c r="D37" i="4"/>
  <c r="D74" i="4"/>
  <c r="D43" i="4"/>
  <c r="E209" i="5"/>
  <c r="X209" i="5" s="1"/>
  <c r="J209" i="5"/>
  <c r="R209" i="5"/>
  <c r="F209" i="5"/>
  <c r="H209" i="5"/>
  <c r="I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S5" i="5"/>
  <c r="D5" i="7" l="1"/>
  <c r="A24" i="6"/>
  <c r="B65" i="4"/>
  <c r="A47" i="6" s="1"/>
  <c r="B59" i="4"/>
  <c r="A42" i="6" s="1"/>
  <c r="B50" i="4"/>
  <c r="A34" i="6" s="1"/>
  <c r="B56" i="4"/>
  <c r="A39" i="6" s="1"/>
  <c r="B68" i="4"/>
  <c r="A49" i="6" s="1"/>
  <c r="G37" i="4"/>
  <c r="G43" i="4"/>
  <c r="G49" i="4"/>
  <c r="G61" i="4"/>
  <c r="G31" i="4"/>
  <c r="G74" i="4"/>
  <c r="C30" i="5"/>
  <c r="B19" i="5"/>
  <c r="C30" i="6"/>
  <c r="C36" i="5"/>
  <c r="B25" i="5"/>
  <c r="C11" i="5"/>
  <c r="G67" i="4"/>
  <c r="C33" i="5"/>
  <c r="B23" i="5"/>
  <c r="C8" i="5"/>
  <c r="AB8" i="5" s="1"/>
  <c r="C39" i="5"/>
  <c r="C27" i="5"/>
  <c r="C15" i="5"/>
  <c r="B38" i="5"/>
  <c r="B35" i="5"/>
  <c r="B32" i="5"/>
  <c r="C29" i="5"/>
  <c r="B26" i="5"/>
  <c r="B24" i="5"/>
  <c r="B21" i="5"/>
  <c r="B18" i="5"/>
  <c r="B14" i="5"/>
  <c r="B10" i="5"/>
  <c r="B7" i="5"/>
  <c r="C37" i="5"/>
  <c r="B34" i="5"/>
  <c r="C31" i="5"/>
  <c r="C28" i="5"/>
  <c r="C25" i="5"/>
  <c r="AB25" i="5" s="1"/>
  <c r="C23" i="5"/>
  <c r="AB23" i="5" s="1"/>
  <c r="C20" i="5"/>
  <c r="C16" i="5"/>
  <c r="B13" i="5"/>
  <c r="B9" i="5"/>
  <c r="C6" i="5"/>
  <c r="B39" i="5"/>
  <c r="B36" i="5"/>
  <c r="C32" i="5"/>
  <c r="B30" i="5"/>
  <c r="AB30" i="5" s="1"/>
  <c r="B27" i="5"/>
  <c r="AB27" i="5" s="1"/>
  <c r="C24" i="5"/>
  <c r="C22" i="5"/>
  <c r="C18" i="5"/>
  <c r="C14" i="5"/>
  <c r="B11" i="5"/>
  <c r="C7" i="5"/>
  <c r="C38" i="5"/>
  <c r="B37" i="5"/>
  <c r="C35" i="5"/>
  <c r="C34" i="5"/>
  <c r="B33" i="5"/>
  <c r="B31" i="5"/>
  <c r="B29" i="5"/>
  <c r="AB29" i="5" s="1"/>
  <c r="B28" i="5"/>
  <c r="C26" i="5"/>
  <c r="B22" i="5"/>
  <c r="C19" i="5"/>
  <c r="B17" i="5"/>
  <c r="B15" i="5"/>
  <c r="AB15" i="5" s="1"/>
  <c r="C12" i="5"/>
  <c r="C10" i="5"/>
  <c r="B6" i="5"/>
  <c r="G64" i="6"/>
  <c r="V8" i="5"/>
  <c r="V25" i="5"/>
  <c r="C21" i="5"/>
  <c r="B20" i="5"/>
  <c r="C17" i="5"/>
  <c r="B16" i="5"/>
  <c r="C13" i="5"/>
  <c r="B12" i="5"/>
  <c r="C9" i="5"/>
  <c r="T5" i="5"/>
  <c r="V36" i="5" l="1"/>
  <c r="AB36" i="5"/>
  <c r="V35" i="5"/>
  <c r="AB37" i="5"/>
  <c r="V32" i="5"/>
  <c r="J32" i="5" s="1"/>
  <c r="AB33" i="5"/>
  <c r="V18" i="5"/>
  <c r="R18" i="5" s="1"/>
  <c r="V31" i="5"/>
  <c r="G31" i="5" s="1"/>
  <c r="V39" i="5"/>
  <c r="E39" i="5" s="1"/>
  <c r="AB35" i="5"/>
  <c r="V29" i="5"/>
  <c r="J29" i="5" s="1"/>
  <c r="V30" i="5"/>
  <c r="F30" i="5" s="1"/>
  <c r="AB39" i="5"/>
  <c r="V14" i="5"/>
  <c r="G14" i="5" s="1"/>
  <c r="AB18" i="5"/>
  <c r="AB22" i="5"/>
  <c r="AB31" i="5"/>
  <c r="V27" i="5"/>
  <c r="I27" i="5" s="1"/>
  <c r="AB7" i="5"/>
  <c r="AB32" i="5"/>
  <c r="V24" i="5"/>
  <c r="AB24" i="5"/>
  <c r="V7" i="5"/>
  <c r="G7" i="5" s="1"/>
  <c r="AB6" i="5"/>
  <c r="V11" i="5"/>
  <c r="AB11" i="5"/>
  <c r="V23" i="5"/>
  <c r="G23" i="5" s="1"/>
  <c r="AB14" i="5"/>
  <c r="G32" i="5"/>
  <c r="V26" i="5"/>
  <c r="G26" i="5" s="1"/>
  <c r="AB26" i="5"/>
  <c r="V38" i="5"/>
  <c r="G38" i="5" s="1"/>
  <c r="AB38" i="5"/>
  <c r="V37" i="5"/>
  <c r="V33" i="5"/>
  <c r="H18" i="5"/>
  <c r="I18" i="5"/>
  <c r="AB28" i="5"/>
  <c r="V34" i="5"/>
  <c r="AB34" i="5"/>
  <c r="V6" i="5"/>
  <c r="V15" i="5"/>
  <c r="E18" i="5"/>
  <c r="J36" i="5"/>
  <c r="E36" i="5"/>
  <c r="G36" i="5"/>
  <c r="F36" i="5"/>
  <c r="R36" i="5"/>
  <c r="I36" i="5"/>
  <c r="H36" i="5"/>
  <c r="V10" i="5"/>
  <c r="G10" i="5" s="1"/>
  <c r="AB10" i="5"/>
  <c r="V19" i="5"/>
  <c r="G19" i="5" s="1"/>
  <c r="AB19" i="5"/>
  <c r="V22" i="5"/>
  <c r="V28" i="5"/>
  <c r="J18" i="5"/>
  <c r="G30" i="5"/>
  <c r="E30" i="5"/>
  <c r="H30" i="5"/>
  <c r="V16" i="5"/>
  <c r="AB16" i="5"/>
  <c r="X18" i="5"/>
  <c r="V12" i="5"/>
  <c r="AB12" i="5"/>
  <c r="V9" i="5"/>
  <c r="G9" i="5" s="1"/>
  <c r="AB9" i="5"/>
  <c r="F69" i="6"/>
  <c r="V17" i="5"/>
  <c r="G17" i="5" s="1"/>
  <c r="AB17" i="5"/>
  <c r="J39" i="5"/>
  <c r="I39" i="5"/>
  <c r="R39" i="5"/>
  <c r="AB20" i="5"/>
  <c r="V20" i="5"/>
  <c r="E8" i="5"/>
  <c r="J8" i="5"/>
  <c r="G8" i="5"/>
  <c r="I8" i="5"/>
  <c r="H8" i="5"/>
  <c r="F8" i="5"/>
  <c r="R8" i="5"/>
  <c r="V13" i="5"/>
  <c r="AB13" i="5"/>
  <c r="V21" i="5"/>
  <c r="AB21" i="5"/>
  <c r="J25" i="5"/>
  <c r="E25" i="5"/>
  <c r="G25" i="5"/>
  <c r="I25" i="5"/>
  <c r="H25" i="5"/>
  <c r="R25" i="5"/>
  <c r="F25" i="5"/>
  <c r="J35" i="5"/>
  <c r="E35" i="5"/>
  <c r="G35" i="5"/>
  <c r="H35" i="5"/>
  <c r="R35" i="5"/>
  <c r="F35" i="5"/>
  <c r="I35" i="5"/>
  <c r="F29" i="5"/>
  <c r="J31" i="5"/>
  <c r="E31" i="5"/>
  <c r="R31" i="5"/>
  <c r="F31" i="5"/>
  <c r="H31" i="5"/>
  <c r="H64" i="6"/>
  <c r="B64" i="6"/>
  <c r="S36" i="5"/>
  <c r="S30" i="5"/>
  <c r="S18" i="5"/>
  <c r="F18" i="5" l="1"/>
  <c r="G18" i="5"/>
  <c r="H32" i="5"/>
  <c r="R30" i="5"/>
  <c r="J30" i="5"/>
  <c r="T30" i="5" s="1"/>
  <c r="F32" i="5"/>
  <c r="F39" i="5"/>
  <c r="G39" i="5"/>
  <c r="R32" i="5"/>
  <c r="I31" i="5"/>
  <c r="H39" i="5"/>
  <c r="I30" i="5"/>
  <c r="I32" i="5"/>
  <c r="E32" i="5"/>
  <c r="F27" i="5"/>
  <c r="R27" i="5"/>
  <c r="G27" i="5"/>
  <c r="H29" i="5"/>
  <c r="E29" i="5"/>
  <c r="H27" i="5"/>
  <c r="I29" i="5"/>
  <c r="G29" i="5"/>
  <c r="R29" i="5"/>
  <c r="J7" i="5"/>
  <c r="R7" i="5"/>
  <c r="I7" i="5"/>
  <c r="F7" i="5"/>
  <c r="H7" i="5"/>
  <c r="E7" i="5"/>
  <c r="J11" i="5"/>
  <c r="G11" i="5"/>
  <c r="H11" i="5"/>
  <c r="I11" i="5"/>
  <c r="F11" i="5"/>
  <c r="R11" i="5"/>
  <c r="E11" i="5"/>
  <c r="J27" i="5"/>
  <c r="E27" i="5"/>
  <c r="J23" i="5"/>
  <c r="H23" i="5"/>
  <c r="R23" i="5"/>
  <c r="F23" i="5"/>
  <c r="I23" i="5"/>
  <c r="E23" i="5"/>
  <c r="F24" i="5"/>
  <c r="R24" i="5"/>
  <c r="I24" i="5"/>
  <c r="H24" i="5"/>
  <c r="J24" i="5"/>
  <c r="E24" i="5"/>
  <c r="I14" i="5"/>
  <c r="R14" i="5"/>
  <c r="F14" i="5"/>
  <c r="H14" i="5"/>
  <c r="J14" i="5"/>
  <c r="E14" i="5"/>
  <c r="G24" i="5"/>
  <c r="G6" i="5"/>
  <c r="H6" i="5"/>
  <c r="R6" i="5"/>
  <c r="F6" i="5"/>
  <c r="I6" i="5"/>
  <c r="E6" i="5"/>
  <c r="J6" i="5"/>
  <c r="E34" i="5"/>
  <c r="J34" i="5"/>
  <c r="I34" i="5"/>
  <c r="H34" i="5"/>
  <c r="F34" i="5"/>
  <c r="R34" i="5"/>
  <c r="H37" i="5"/>
  <c r="I37" i="5"/>
  <c r="F37" i="5"/>
  <c r="R37" i="5"/>
  <c r="G37" i="5"/>
  <c r="J37" i="5"/>
  <c r="E37" i="5"/>
  <c r="G68" i="6"/>
  <c r="H68" i="6" s="1"/>
  <c r="D68" i="6" s="1"/>
  <c r="X30" i="5"/>
  <c r="H10" i="5"/>
  <c r="F10" i="5"/>
  <c r="R10" i="5"/>
  <c r="I10" i="5"/>
  <c r="E10" i="5"/>
  <c r="J10" i="5"/>
  <c r="G66" i="6"/>
  <c r="H66" i="6" s="1"/>
  <c r="C66" i="6" s="1"/>
  <c r="E28" i="5"/>
  <c r="J28" i="5"/>
  <c r="G28" i="5"/>
  <c r="H28" i="5"/>
  <c r="R28" i="5"/>
  <c r="F28" i="5"/>
  <c r="I28" i="5"/>
  <c r="J19" i="5"/>
  <c r="I19" i="5"/>
  <c r="F19" i="5"/>
  <c r="R19" i="5"/>
  <c r="H19" i="5"/>
  <c r="E19" i="5"/>
  <c r="G34" i="5"/>
  <c r="F26" i="5"/>
  <c r="R26" i="5"/>
  <c r="H26" i="5"/>
  <c r="I26" i="5"/>
  <c r="J26" i="5"/>
  <c r="E26" i="5"/>
  <c r="F22" i="5"/>
  <c r="G22" i="5"/>
  <c r="H22" i="5"/>
  <c r="I22" i="5"/>
  <c r="R22" i="5"/>
  <c r="J22" i="5"/>
  <c r="E22" i="5"/>
  <c r="X36" i="5"/>
  <c r="J15" i="5"/>
  <c r="G15" i="5"/>
  <c r="I15" i="5"/>
  <c r="R15" i="5"/>
  <c r="F15" i="5"/>
  <c r="H15" i="5"/>
  <c r="E15" i="5"/>
  <c r="H33" i="5"/>
  <c r="G33" i="5"/>
  <c r="I33" i="5"/>
  <c r="F33" i="5"/>
  <c r="R33" i="5"/>
  <c r="J33" i="5"/>
  <c r="E33" i="5"/>
  <c r="E38" i="5"/>
  <c r="F38" i="5"/>
  <c r="I38" i="5"/>
  <c r="H38" i="5"/>
  <c r="R38" i="5"/>
  <c r="J38" i="5"/>
  <c r="C64" i="6"/>
  <c r="D64" i="6"/>
  <c r="X31" i="5"/>
  <c r="X29" i="5"/>
  <c r="X25" i="5"/>
  <c r="E20" i="5"/>
  <c r="J20" i="5"/>
  <c r="G20" i="5"/>
  <c r="R20" i="5"/>
  <c r="H20" i="5"/>
  <c r="I20" i="5"/>
  <c r="F20" i="5"/>
  <c r="J21" i="5"/>
  <c r="E21" i="5"/>
  <c r="F21" i="5"/>
  <c r="R21" i="5"/>
  <c r="I21" i="5"/>
  <c r="H21" i="5"/>
  <c r="J13" i="5"/>
  <c r="E13" i="5"/>
  <c r="R13" i="5"/>
  <c r="I13" i="5"/>
  <c r="H13" i="5"/>
  <c r="F13" i="5"/>
  <c r="C69" i="6"/>
  <c r="J9" i="5"/>
  <c r="E9" i="5"/>
  <c r="I9" i="5"/>
  <c r="H9" i="5"/>
  <c r="F9" i="5"/>
  <c r="R9" i="5"/>
  <c r="G67" i="6"/>
  <c r="H67" i="6" s="1"/>
  <c r="X39" i="5"/>
  <c r="X8" i="5"/>
  <c r="X35" i="5"/>
  <c r="G21" i="5"/>
  <c r="G13" i="5"/>
  <c r="J17" i="5"/>
  <c r="E17" i="5"/>
  <c r="H17" i="5"/>
  <c r="R17" i="5"/>
  <c r="F17" i="5"/>
  <c r="I17" i="5"/>
  <c r="G65" i="6"/>
  <c r="H65" i="6" s="1"/>
  <c r="E12" i="5"/>
  <c r="J12" i="5"/>
  <c r="G12" i="5"/>
  <c r="H12" i="5"/>
  <c r="F12" i="5"/>
  <c r="I12" i="5"/>
  <c r="R12" i="5"/>
  <c r="E16" i="5"/>
  <c r="J16" i="5"/>
  <c r="G16" i="5"/>
  <c r="H16" i="5"/>
  <c r="F16" i="5"/>
  <c r="I16" i="5"/>
  <c r="R16" i="5"/>
  <c r="S14" i="5"/>
  <c r="S8" i="5"/>
  <c r="S31" i="5"/>
  <c r="T18" i="5"/>
  <c r="S39" i="5"/>
  <c r="S35" i="5"/>
  <c r="S33" i="5"/>
  <c r="T36" i="5"/>
  <c r="S32" i="5"/>
  <c r="S25" i="5"/>
  <c r="S23" i="5"/>
  <c r="S27" i="5"/>
  <c r="S29" i="5"/>
  <c r="S6" i="5"/>
  <c r="S11" i="5"/>
  <c r="S10" i="5"/>
  <c r="S28" i="5"/>
  <c r="S38" i="5"/>
  <c r="S26" i="5"/>
  <c r="S7" i="5"/>
  <c r="S34" i="5"/>
  <c r="S22" i="5"/>
  <c r="S37" i="5"/>
  <c r="S15" i="5"/>
  <c r="X32" i="5" l="1"/>
  <c r="X24" i="5"/>
  <c r="S24" i="5"/>
  <c r="X27" i="5"/>
  <c r="X7" i="5"/>
  <c r="X14" i="5"/>
  <c r="X23" i="5"/>
  <c r="X11" i="5"/>
  <c r="C68" i="6"/>
  <c r="X38" i="5"/>
  <c r="X15" i="5"/>
  <c r="X22" i="5"/>
  <c r="X37" i="5"/>
  <c r="X34" i="5"/>
  <c r="D66" i="6"/>
  <c r="X33" i="5"/>
  <c r="X10" i="5"/>
  <c r="X26" i="5"/>
  <c r="S19" i="5"/>
  <c r="X19" i="5"/>
  <c r="X28" i="5"/>
  <c r="X6" i="5"/>
  <c r="X21" i="5"/>
  <c r="X16" i="5"/>
  <c r="C65" i="6"/>
  <c r="D65" i="6"/>
  <c r="C67" i="6"/>
  <c r="D67" i="6"/>
  <c r="X17" i="5"/>
  <c r="G69" i="6" a="1"/>
  <c r="G69" i="6" s="1"/>
  <c r="H69" i="6" s="1"/>
  <c r="H70" i="6" s="1"/>
  <c r="D2" i="6" s="1"/>
  <c r="X9" i="5"/>
  <c r="X12" i="5"/>
  <c r="X13" i="5"/>
  <c r="X20" i="5"/>
  <c r="T14" i="5"/>
  <c r="T25" i="5"/>
  <c r="T10" i="5"/>
  <c r="T26" i="5"/>
  <c r="T24" i="5"/>
  <c r="T11" i="5"/>
  <c r="S17" i="5"/>
  <c r="T22" i="5"/>
  <c r="S9" i="5"/>
  <c r="S12" i="5"/>
  <c r="T31" i="5"/>
  <c r="T37" i="5"/>
  <c r="T33" i="5"/>
  <c r="T8" i="5"/>
  <c r="T35" i="5"/>
  <c r="T27" i="5"/>
  <c r="T15" i="5"/>
  <c r="T28" i="5"/>
  <c r="T38" i="5"/>
  <c r="S13" i="5"/>
  <c r="T19" i="5"/>
  <c r="T29" i="5"/>
  <c r="S21" i="5"/>
  <c r="T32" i="5"/>
  <c r="T7" i="5"/>
  <c r="S20" i="5"/>
  <c r="T23" i="5"/>
  <c r="T39" i="5"/>
  <c r="T34" i="5"/>
  <c r="S16" i="5"/>
  <c r="T6" i="5"/>
  <c r="T16" i="5"/>
  <c r="T12" i="5"/>
  <c r="T9" i="5"/>
  <c r="T17" i="5"/>
  <c r="T20" i="5"/>
  <c r="T21" i="5"/>
  <c r="T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<sst xmlns="http://schemas.openxmlformats.org/spreadsheetml/2006/main" count="22591" uniqueCount="15892">
  <si>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</si>
  <si>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</si>
  <si>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</si>
  <si>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</si>
  <si>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</si>
  <si>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</si>
  <si>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</si>
  <si>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</si>
  <si>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</si>
  <si>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</si>
  <si>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</si>
  <si>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</si>
  <si>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</si>
  <si>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</si>
  <si>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</si>
  <si>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</si>
  <si>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</si>
  <si>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</si>
  <si>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</si>
  <si>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</si>
  <si>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</si>
  <si>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</si>
  <si>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</si>
  <si>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</si>
  <si>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</si>
  <si>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</si>
  <si>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</si>
  <si>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</si>
  <si>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</si>
  <si>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</si>
  <si>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</si>
  <si>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</si>
  <si>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</si>
  <si>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</si>
  <si>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</si>
  <si>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</si>
  <si>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</si>
  <si>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</si>
  <si>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</si>
  <si>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</si>
  <si>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</si>
  <si>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</si>
  <si>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</si>
  <si>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</si>
  <si>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</si>
  <si>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</si>
  <si>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</si>
  <si>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</si>
  <si>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</si>
  <si>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</si>
  <si>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</si>
  <si>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</si>
  <si>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</si>
  <si>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</si>
  <si>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</si>
  <si>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</si>
  <si>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</si>
  <si>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</si>
  <si>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</si>
  <si>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</si>
  <si>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</si>
  <si>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</si>
  <si>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</si>
  <si>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</si>
  <si>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</si>
  <si>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</si>
  <si>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</si>
  <si>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</si>
  <si>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</si>
  <si>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</si>
  <si>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</si>
  <si>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</si>
  <si>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</si>
  <si>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</si>
  <si>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</si>
  <si>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</si>
  <si>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</si>
  <si>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</si>
  <si>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</si>
  <si>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</si>
  <si>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</si>
  <si>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</si>
  <si>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</si>
  <si>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</si>
  <si>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</si>
  <si>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</si>
  <si>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</si>
  <si>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</si>
  <si>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</si>
  <si>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</si>
  <si>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</si>
  <si>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</si>
  <si>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</si>
  <si>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</si>
  <si>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</si>
  <si>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</si>
  <si>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</si>
  <si>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</si>
  <si>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</si>
  <si>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</si>
  <si>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</si>
  <si>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</si>
  <si>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</si>
  <si>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</si>
  <si>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</si>
  <si>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</si>
  <si>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</si>
  <si>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</si>
  <si>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</si>
  <si>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</si>
  <si>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</si>
  <si>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</si>
  <si>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</si>
  <si>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</si>
  <si>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</si>
  <si>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</si>
  <si>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</si>
  <si>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</si>
  <si>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</si>
  <si>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</si>
  <si>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</si>
  <si>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</si>
  <si>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</si>
  <si>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</si>
  <si>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</si>
  <si>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</si>
  <si>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</si>
  <si>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</si>
  <si>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</si>
  <si>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</si>
  <si>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</si>
  <si>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</si>
  <si>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</si>
  <si>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</si>
  <si>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</si>
  <si>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</si>
  <si>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</si>
  <si>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</si>
  <si>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</si>
  <si>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</si>
  <si>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</si>
  <si>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</si>
  <si>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</si>
  <si>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</si>
  <si>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</si>
  <si>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</si>
  <si>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</si>
  <si>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</si>
  <si>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</si>
  <si>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</si>
  <si>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</si>
  <si>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</si>
  <si>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</si>
  <si>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</si>
  <si>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</si>
  <si>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</si>
  <si>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</si>
  <si>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</si>
  <si>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</si>
  <si>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</si>
  <si>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</si>
  <si>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</si>
  <si>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</si>
  <si>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</si>
  <si>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</si>
  <si>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</si>
  <si>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</si>
  <si>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</si>
  <si>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</si>
  <si>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</si>
  <si>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</si>
  <si>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</si>
  <si>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</si>
  <si>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</si>
  <si>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</si>
  <si>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</si>
  <si>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</si>
  <si>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</si>
  <si>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</si>
  <si>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</si>
  <si>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</si>
  <si>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</si>
  <si>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</si>
  <si>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</si>
  <si>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</si>
  <si>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</si>
  <si>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</si>
  <si>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</si>
  <si>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</si>
  <si>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</si>
  <si>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</si>
  <si>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</si>
  <si>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</si>
  <si>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</si>
  <si>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</si>
  <si>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</si>
  <si>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</si>
  <si>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</si>
  <si>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</si>
  <si>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</si>
  <si>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</si>
  <si>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</si>
  <si>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</si>
  <si>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</si>
  <si>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</si>
  <si>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</si>
  <si>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</si>
  <si>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</si>
  <si>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</si>
  <si>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</si>
  <si>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</si>
  <si>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</si>
  <si>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</si>
  <si>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</si>
  <si>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</si>
  <si>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</si>
  <si>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</si>
  <si>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</si>
  <si>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</si>
  <si>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</si>
  <si>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</si>
  <si>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</si>
  <si>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</si>
  <si>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</si>
  <si>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</si>
  <si>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</si>
  <si>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</si>
  <si>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</si>
  <si>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</si>
  <si>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</si>
  <si>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</si>
  <si>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</si>
  <si>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</si>
  <si>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</si>
  <si>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</si>
  <si>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</si>
  <si>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</si>
  <si>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</si>
  <si>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</si>
  <si>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</si>
  <si>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</si>
  <si>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</si>
  <si>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</si>
  <si>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</si>
  <si>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</si>
  <si>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</si>
  <si>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</si>
  <si>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</si>
  <si>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</si>
  <si>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</si>
  <si>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</si>
  <si>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</si>
  <si>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</si>
  <si>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</si>
  <si>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</si>
  <si>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</si>
  <si>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</si>
  <si>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</si>
  <si>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</si>
  <si>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</si>
  <si>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</si>
  <si>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</si>
  <si>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</si>
  <si>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</si>
  <si>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</si>
  <si>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</si>
  <si>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</si>
  <si>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</si>
  <si>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</si>
  <si>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</si>
  <si>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</si>
  <si>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</si>
  <si>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</si>
  <si>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</si>
  <si>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</si>
  <si>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</si>
  <si>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</si>
  <si>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</si>
  <si>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</si>
  <si>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</si>
  <si>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</si>
  <si>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</si>
  <si>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</si>
  <si>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</si>
  <si>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</si>
  <si>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</si>
  <si>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</si>
  <si>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</si>
  <si>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</si>
  <si>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</si>
  <si>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</si>
  <si>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</si>
  <si>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</si>
  <si>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</si>
  <si>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</si>
  <si>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</si>
  <si>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</si>
  <si>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</si>
  <si>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</si>
  <si>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</si>
  <si>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</si>
  <si>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</si>
  <si>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</si>
  <si>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</si>
  <si>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</si>
  <si>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</si>
  <si>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</si>
  <si>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</si>
  <si>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</si>
  <si>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</si>
  <si>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</si>
  <si>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</si>
  <si>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</si>
  <si>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</si>
  <si>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</si>
  <si>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</si>
  <si>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</si>
  <si>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</si>
  <si>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</si>
  <si>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</si>
  <si>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</si>
  <si>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</si>
  <si>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</si>
  <si>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</si>
  <si>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</si>
  <si>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</si>
  <si>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</si>
  <si>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</si>
  <si>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</si>
  <si>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</si>
  <si>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</si>
  <si>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</si>
  <si>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</si>
  <si>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</si>
  <si>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</si>
  <si>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</si>
  <si>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</si>
  <si>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</si>
  <si>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</si>
  <si>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</si>
  <si>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</si>
  <si>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</si>
  <si>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</si>
  <si>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</si>
  <si>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</si>
  <si>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</si>
  <si>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</si>
  <si>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</si>
  <si>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</si>
  <si>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</si>
  <si>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</si>
  <si>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</si>
  <si>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</si>
  <si>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</si>
  <si>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</si>
  <si>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</si>
  <si>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</si>
  <si>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</si>
  <si>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</si>
  <si>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</si>
  <si>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</si>
  <si>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</si>
  <si>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</si>
  <si>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</si>
  <si>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</si>
  <si>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</si>
  <si>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</si>
  <si>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</si>
  <si>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</si>
  <si>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</si>
  <si>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</si>
  <si>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</si>
  <si>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</si>
  <si>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</si>
  <si>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</si>
  <si>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</si>
  <si>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</si>
  <si>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</si>
  <si>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</si>
  <si>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</si>
  <si>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</si>
  <si>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</si>
  <si>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</si>
  <si>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</si>
  <si>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</si>
  <si>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</si>
  <si>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</si>
  <si>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</si>
  <si>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</si>
  <si>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</si>
  <si>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</si>
  <si>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</si>
  <si>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</si>
  <si>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</si>
  <si>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</si>
  <si>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</si>
  <si>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</si>
  <si>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</si>
  <si>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</si>
  <si>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</si>
  <si>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</si>
  <si>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</si>
  <si>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</si>
  <si>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</si>
  <si>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</si>
  <si>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</si>
  <si>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</si>
  <si>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</si>
  <si>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</si>
  <si>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</si>
  <si>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</si>
  <si>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</si>
  <si>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</si>
  <si>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</si>
  <si>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</si>
  <si>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</si>
  <si>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</si>
  <si>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</si>
  <si>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</si>
  <si>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</si>
  <si>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</si>
  <si>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</si>
  <si>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</si>
  <si>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</si>
  <si>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</si>
  <si>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</si>
  <si>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</si>
  <si>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</si>
  <si>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</si>
  <si>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</si>
  <si>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</si>
  <si>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</si>
  <si>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</si>
  <si>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</si>
  <si>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</si>
  <si>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</si>
  <si>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</si>
  <si>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</si>
  <si>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</si>
  <si>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</si>
  <si>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</si>
  <si>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</si>
  <si>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</si>
  <si>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</si>
  <si>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</si>
  <si>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</si>
  <si>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</si>
  <si>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</si>
  <si>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</si>
  <si>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</si>
  <si>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</si>
  <si>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</si>
  <si>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</si>
  <si>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</si>
  <si>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</si>
  <si>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</si>
  <si>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</si>
  <si>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</si>
  <si>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</si>
  <si>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</si>
  <si>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</si>
  <si>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</si>
  <si>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</si>
  <si>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</si>
  <si>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</si>
  <si>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</si>
  <si>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</si>
  <si>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</si>
  <si>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</si>
  <si>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</si>
  <si>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</si>
  <si>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</si>
  <si>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</si>
  <si>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</si>
  <si>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</si>
  <si>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</si>
  <si>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</si>
  <si>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</si>
  <si>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</si>
  <si>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</si>
  <si>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</si>
  <si>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</si>
  <si>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</si>
  <si>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</si>
  <si>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</si>
  <si>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</si>
  <si>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</si>
  <si>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</si>
  <si>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</si>
  <si>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</si>
  <si>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</si>
  <si>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</si>
  <si>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</si>
  <si>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</si>
  <si>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</si>
  <si>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</si>
  <si>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</si>
  <si>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</si>
  <si>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</si>
  <si>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</si>
  <si>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</si>
  <si>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</si>
  <si>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</si>
  <si>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</si>
  <si>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</si>
  <si>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</si>
  <si>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</si>
  <si>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</si>
  <si>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</si>
  <si>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</si>
  <si>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</si>
  <si>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</si>
  <si>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</si>
  <si>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</si>
  <si>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</si>
  <si>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</si>
  <si>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</si>
  <si>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</si>
  <si>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</si>
  <si>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</si>
  <si>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</si>
  <si>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</si>
  <si>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</si>
  <si>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</si>
  <si>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</si>
  <si>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</si>
  <si>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</si>
  <si>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</si>
  <si>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</si>
  <si>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</si>
  <si>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</si>
  <si>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</si>
  <si>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</si>
  <si>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</si>
  <si>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</si>
  <si>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</si>
  <si>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</si>
  <si>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</si>
  <si>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</si>
  <si>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</si>
  <si>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</si>
  <si>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</si>
  <si>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</si>
  <si>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</si>
  <si>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</si>
  <si>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</si>
  <si>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</si>
  <si>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</si>
  <si>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</si>
  <si>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</si>
  <si>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</si>
  <si>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</si>
  <si>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</si>
  <si>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</si>
  <si>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</si>
  <si>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</si>
  <si>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</si>
  <si>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</si>
  <si>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</si>
  <si>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</si>
  <si>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</si>
  <si>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</si>
  <si>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</si>
  <si>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</si>
  <si>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</si>
  <si>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</si>
  <si>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</si>
  <si>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</si>
  <si>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</si>
  <si>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</si>
  <si>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</si>
  <si>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</si>
  <si>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</si>
  <si>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</si>
  <si>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</si>
  <si>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</si>
  <si>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</si>
  <si>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</si>
  <si>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</si>
  <si>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</si>
  <si>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</si>
  <si>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</si>
  <si>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</si>
  <si>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</si>
  <si>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</si>
  <si>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</si>
  <si>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</si>
  <si>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</si>
  <si>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</si>
  <si>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</si>
  <si>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</si>
  <si>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</si>
  <si>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</si>
  <si>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</si>
  <si>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</si>
  <si>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</si>
  <si>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</si>
  <si>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</si>
  <si>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</si>
  <si>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</si>
  <si>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</si>
  <si>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</si>
  <si>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</si>
  <si>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</si>
  <si>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</si>
  <si>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</si>
  <si>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</si>
  <si>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</si>
  <si>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</si>
  <si>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</si>
  <si>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</si>
  <si>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</si>
  <si>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</si>
  <si>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</si>
  <si>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</si>
  <si>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</si>
  <si>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</si>
  <si>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</si>
  <si>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</si>
  <si>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</si>
  <si>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</si>
  <si>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</si>
  <si>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</si>
  <si>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</si>
  <si>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</si>
  <si>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</si>
  <si>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</si>
  <si>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</si>
  <si>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</si>
  <si>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</si>
  <si>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</si>
  <si>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</si>
  <si>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</si>
  <si>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</si>
  <si>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</si>
  <si>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</si>
  <si>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</si>
  <si>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</si>
  <si>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</si>
  <si>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</si>
  <si>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</si>
  <si>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</si>
  <si>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</si>
  <si>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</si>
  <si>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</si>
  <si>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</si>
  <si>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</si>
  <si>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</si>
  <si>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</si>
  <si>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</si>
  <si>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</si>
  <si>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</si>
  <si>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</si>
  <si>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</si>
  <si>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</si>
  <si>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</si>
  <si>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</si>
  <si>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</si>
  <si>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</si>
  <si>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</si>
  <si>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</si>
  <si>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</si>
  <si>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</si>
  <si>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</si>
  <si>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</si>
  <si>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</si>
  <si>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</si>
  <si>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</si>
  <si>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</si>
  <si>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</si>
  <si>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</si>
  <si>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</si>
  <si>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</si>
  <si>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</si>
  <si>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</si>
  <si>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</si>
  <si>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</si>
  <si>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</si>
  <si>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</si>
  <si>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</si>
  <si>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</si>
  <si>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</si>
  <si>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</si>
  <si>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</si>
  <si>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</si>
  <si>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</si>
  <si>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</si>
  <si>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</si>
  <si>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</si>
  <si>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</si>
  <si>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</si>
  <si>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</si>
  <si>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</si>
  <si>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</si>
  <si>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</si>
  <si>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</si>
  <si>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</si>
  <si>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</si>
  <si>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</si>
  <si>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</si>
  <si>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</si>
  <si>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</si>
  <si>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</si>
  <si>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</si>
  <si>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</si>
  <si>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</si>
  <si>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</si>
  <si>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</si>
  <si>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</si>
  <si>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</si>
  <si>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</si>
  <si>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</si>
  <si>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</si>
  <si>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</si>
  <si>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</si>
  <si>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</si>
  <si>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</si>
  <si>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</si>
  <si>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</si>
  <si>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</si>
  <si>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</si>
  <si>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</si>
  <si>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</si>
  <si>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</si>
  <si>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</si>
  <si>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</si>
  <si>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</si>
  <si>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</si>
  <si>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</si>
  <si>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</si>
  <si>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</si>
  <si>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</si>
  <si>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</si>
  <si>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</si>
  <si>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</si>
  <si>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</si>
  <si>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</si>
  <si>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</si>
  <si>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</si>
  <si>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</si>
  <si>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</si>
  <si>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</si>
  <si>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</si>
  <si>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</si>
  <si>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</si>
  <si>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</si>
  <si>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</si>
  <si>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</si>
  <si>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</si>
  <si>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</si>
  <si>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</si>
  <si>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</si>
  <si>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</si>
  <si>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</si>
  <si>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</si>
  <si>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</si>
  <si>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</si>
  <si>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</si>
  <si>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</si>
  <si>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</si>
  <si>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</si>
  <si>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</si>
  <si>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</si>
  <si>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</si>
  <si>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</si>
  <si>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</si>
  <si>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</si>
  <si>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</si>
  <si>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</si>
  <si>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</si>
  <si>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</si>
  <si>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</si>
  <si>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</si>
  <si>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</si>
  <si>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</si>
  <si>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</si>
  <si>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</si>
  <si>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</si>
  <si>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</si>
  <si>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</si>
  <si>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</si>
  <si>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</si>
  <si>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</si>
  <si>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</si>
  <si>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</si>
  <si>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</si>
  <si>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</si>
  <si>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</si>
  <si>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</si>
  <si>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</si>
  <si>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</si>
  <si>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</si>
  <si>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</si>
  <si>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</si>
  <si>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</si>
  <si>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</si>
  <si>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</si>
  <si>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</si>
  <si>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</si>
  <si>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</si>
  <si>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</si>
  <si>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</si>
  <si>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</si>
  <si>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</si>
  <si>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</si>
  <si>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</si>
  <si>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</si>
  <si>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</si>
  <si>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</si>
  <si>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</si>
  <si>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</si>
  <si>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</si>
  <si>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</si>
  <si>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</si>
  <si>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</si>
  <si>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</si>
  <si>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</si>
  <si>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</si>
  <si>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</si>
  <si>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</si>
  <si>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</si>
  <si>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</si>
  <si>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</si>
  <si>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</si>
  <si>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</si>
  <si>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</si>
  <si>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</si>
  <si>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</si>
  <si>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</si>
  <si>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</si>
  <si>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</si>
  <si>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</si>
  <si>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</si>
  <si>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</si>
  <si>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</si>
  <si>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</si>
  <si>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</si>
  <si>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</si>
  <si>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</si>
  <si>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</si>
  <si>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</si>
  <si>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</si>
  <si>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</si>
  <si>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</si>
  <si>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</si>
  <si>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</si>
  <si>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</si>
  <si>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</si>
  <si>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</si>
  <si>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</si>
  <si>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</si>
  <si>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</si>
  <si>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</si>
  <si>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</si>
  <si>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</si>
  <si>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</si>
  <si>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</si>
  <si>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</si>
  <si>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</si>
  <si>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</si>
  <si>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</si>
  <si>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</si>
  <si>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</si>
  <si>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</si>
  <si>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</si>
  <si>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</si>
  <si>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</si>
  <si>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</si>
  <si>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</si>
  <si>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</si>
  <si>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</si>
  <si>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</si>
  <si>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</si>
  <si>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</si>
  <si>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</si>
  <si>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</si>
  <si>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</si>
  <si>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</si>
  <si>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</si>
  <si>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</si>
  <si>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</si>
  <si>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</si>
  <si>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</si>
  <si>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</si>
  <si>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</si>
  <si>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</si>
  <si>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</si>
  <si>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</si>
  <si>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</si>
  <si>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</si>
  <si>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</si>
  <si>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</si>
  <si>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</si>
  <si>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</si>
  <si>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</si>
  <si>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</si>
  <si>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</si>
  <si>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</si>
  <si>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</si>
  <si>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</si>
  <si>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</si>
  <si>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</si>
  <si>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</si>
  <si>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</si>
  <si>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</si>
  <si>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</si>
  <si>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</si>
  <si>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</si>
  <si>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</si>
  <si>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</si>
  <si>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</si>
  <si>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</si>
  <si>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</si>
  <si>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</si>
  <si>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</si>
  <si>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</si>
  <si>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</si>
  <si>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</si>
  <si>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</si>
  <si>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</si>
  <si>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</si>
  <si>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</si>
  <si>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</si>
  <si>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</si>
  <si>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</si>
  <si>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</si>
  <si>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</si>
  <si>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</si>
  <si>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</si>
  <si>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</si>
  <si>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</si>
  <si>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</si>
  <si>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</si>
  <si>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</si>
  <si>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</si>
  <si>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</si>
  <si>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</si>
  <si>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</si>
  <si>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</si>
  <si>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</si>
  <si>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</si>
  <si>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</si>
  <si>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</si>
  <si>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</si>
  <si>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</si>
  <si>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</si>
  <si>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</si>
  <si>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</si>
  <si>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</si>
  <si>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</si>
  <si>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</si>
  <si>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</si>
  <si>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</si>
  <si>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</si>
  <si>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</si>
  <si>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</si>
  <si>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</si>
  <si>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</si>
  <si>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</si>
  <si>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</si>
  <si>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</si>
  <si>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</si>
  <si>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</si>
  <si>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</si>
  <si>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</si>
  <si>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</si>
  <si>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</si>
  <si>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</si>
  <si>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</si>
  <si>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</si>
  <si>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</si>
  <si>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</si>
  <si>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</si>
  <si>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</si>
  <si>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</si>
  <si>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</si>
  <si>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</si>
  <si>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</si>
  <si>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</si>
  <si>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</si>
  <si>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</si>
  <si>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</si>
  <si>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</si>
  <si>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</si>
  <si>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</si>
  <si>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</si>
  <si>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</si>
  <si>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</si>
  <si>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</si>
  <si>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</si>
  <si>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</si>
  <si>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</si>
  <si>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</si>
  <si>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</si>
  <si>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</si>
  <si>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</si>
  <si>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</si>
  <si>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</si>
  <si>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</si>
  <si>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</si>
  <si>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</si>
  <si>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</si>
  <si>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</si>
  <si>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</si>
  <si>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</si>
  <si>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</si>
  <si>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</si>
  <si>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</si>
  <si>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</si>
  <si>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</si>
  <si>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</si>
  <si>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</si>
  <si>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</si>
  <si>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</si>
  <si>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</si>
  <si>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</si>
  <si>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</si>
  <si>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</si>
  <si>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</si>
  <si>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</si>
  <si>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</si>
  <si>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</si>
  <si>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</si>
  <si>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</si>
  <si>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</si>
  <si>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</si>
  <si>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</si>
  <si>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</si>
  <si>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</si>
  <si>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</si>
  <si>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</si>
  <si>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</si>
  <si>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</si>
  <si>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</si>
  <si>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</si>
  <si>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</si>
  <si>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</si>
  <si>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</si>
  <si>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</si>
  <si>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</si>
  <si>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</si>
  <si>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</si>
  <si>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</si>
  <si>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</si>
  <si>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</si>
  <si>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</si>
  <si>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</si>
  <si>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</si>
  <si>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</si>
  <si>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</si>
  <si>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</si>
  <si>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</si>
  <si>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</si>
  <si>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</si>
  <si>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</si>
  <si>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</si>
  <si>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</si>
  <si>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</si>
  <si>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</si>
  <si>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</si>
  <si>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</si>
  <si>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</si>
  <si>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</si>
  <si>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</si>
  <si>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</si>
  <si>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</si>
  <si>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</si>
  <si>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</si>
  <si>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</si>
  <si>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</si>
  <si>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</si>
  <si>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</si>
  <si>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</si>
  <si>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</si>
  <si>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</si>
  <si>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</si>
  <si>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</si>
  <si>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</si>
  <si>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</si>
  <si>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</si>
  <si>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</si>
  <si>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</si>
  <si>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</si>
  <si>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</si>
  <si>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</si>
  <si>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</si>
  <si>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</si>
  <si>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</si>
  <si>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</si>
  <si>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</si>
  <si>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</si>
  <si>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</si>
  <si>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</si>
  <si>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</si>
  <si>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</si>
  <si>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</si>
  <si>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</si>
  <si>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</si>
  <si>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</si>
  <si>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</si>
  <si>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</si>
  <si>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</si>
  <si>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</si>
  <si>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</si>
  <si>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</si>
  <si>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</si>
  <si>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</si>
  <si>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</si>
  <si>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</si>
  <si>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</si>
  <si>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</si>
  <si>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</si>
  <si>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</si>
  <si>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</si>
  <si>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</si>
  <si>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</si>
  <si>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</si>
  <si>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</si>
  <si>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</si>
  <si>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</si>
  <si>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</si>
  <si>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</si>
  <si>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</si>
  <si>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</si>
  <si>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</si>
  <si>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</si>
  <si>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</si>
  <si>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</si>
  <si>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</si>
  <si>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</si>
  <si>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</si>
  <si>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</si>
  <si>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</si>
  <si>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</si>
  <si>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</si>
  <si>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</si>
  <si>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</si>
  <si>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</si>
  <si>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</si>
  <si>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</si>
  <si>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</si>
  <si>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</si>
  <si>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</si>
  <si>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</si>
  <si>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</si>
  <si>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</si>
  <si>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</si>
  <si>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</si>
  <si>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</si>
  <si>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</si>
  <si>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</si>
  <si>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</si>
  <si>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</si>
  <si>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</si>
  <si>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</si>
  <si>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</si>
  <si>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</si>
  <si>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</si>
  <si>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</si>
  <si>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</si>
  <si>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</si>
  <si>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</si>
  <si>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</si>
  <si>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</si>
  <si>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</si>
  <si>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</si>
  <si>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</si>
  <si>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</si>
  <si>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</si>
  <si>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</si>
  <si>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</si>
  <si>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</si>
  <si>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</si>
  <si>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</si>
  <si>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</si>
  <si>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</si>
  <si>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</si>
  <si>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</si>
  <si>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</si>
  <si>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</si>
  <si>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</si>
  <si>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</si>
  <si>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</si>
  <si>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</si>
  <si>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</si>
  <si>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</si>
  <si>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</si>
  <si>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</si>
  <si>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</si>
  <si>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</si>
  <si>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</si>
  <si>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</si>
  <si>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</si>
  <si>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</si>
  <si>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</si>
  <si>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</si>
  <si>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</si>
  <si>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</si>
  <si>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</si>
  <si>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</si>
  <si>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</si>
  <si>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</si>
  <si>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</si>
  <si>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</si>
  <si>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</si>
  <si>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</si>
  <si>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</si>
  <si>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</si>
  <si>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</si>
  <si>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</si>
  <si>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</si>
  <si>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</si>
  <si>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</si>
  <si>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</si>
  <si>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</si>
  <si>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</si>
  <si>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</si>
  <si>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</si>
  <si>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</si>
  <si>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</si>
  <si>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</si>
  <si>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</si>
  <si>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</si>
  <si>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</si>
  <si>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</si>
  <si>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</si>
  <si>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</si>
  <si>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</si>
  <si>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</si>
  <si>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</si>
  <si>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</si>
  <si>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</si>
  <si>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</si>
  <si>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</si>
  <si>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</si>
  <si>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</si>
  <si>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</si>
  <si>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</si>
  <si>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</si>
  <si>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</si>
  <si>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</si>
  <si>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</si>
  <si>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</si>
  <si>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</si>
  <si>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</si>
  <si>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</si>
  <si>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</si>
  <si>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</si>
  <si>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</si>
  <si>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</si>
  <si>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</si>
  <si>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</si>
  <si>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</si>
  <si>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</si>
  <si>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</si>
  <si>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</si>
  <si>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</si>
  <si>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</si>
  <si>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</si>
  <si>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</si>
  <si>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</si>
  <si>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</si>
  <si>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</si>
  <si>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</si>
  <si>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</si>
  <si>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</si>
  <si>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</si>
  <si>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</si>
  <si>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</si>
  <si>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</si>
  <si>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</si>
  <si>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</si>
  <si>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</si>
  <si>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</si>
  <si>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</si>
  <si>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</si>
  <si>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</si>
  <si>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</si>
  <si>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</si>
  <si>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</si>
  <si>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</si>
  <si>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</si>
  <si>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</si>
  <si>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</si>
  <si>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</si>
  <si>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</si>
  <si>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</si>
  <si>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</si>
  <si>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</si>
  <si>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</si>
  <si>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</si>
  <si>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</si>
  <si>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</si>
  <si>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</si>
  <si>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</si>
  <si>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</si>
  <si>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</si>
  <si>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</si>
  <si>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</si>
  <si>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</si>
  <si>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</si>
  <si>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</si>
  <si>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</si>
  <si>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</si>
  <si>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</si>
  <si>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</si>
  <si>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</si>
  <si>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</si>
  <si>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</si>
  <si>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</si>
  <si>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</si>
  <si>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</si>
  <si>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</si>
  <si>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</si>
  <si>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</si>
  <si>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</si>
  <si>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</si>
  <si>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</si>
  <si>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</si>
  <si>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</si>
  <si>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</si>
  <si>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</si>
  <si>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</si>
  <si>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</si>
  <si>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</si>
  <si>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</si>
  <si>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</si>
  <si>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</si>
  <si>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</si>
  <si>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</si>
  <si>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</si>
  <si>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</si>
  <si>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</si>
  <si>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</si>
  <si>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</si>
  <si>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</si>
  <si>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</si>
  <si>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</si>
  <si>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</si>
  <si>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</si>
  <si>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</si>
  <si>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</si>
  <si>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</si>
  <si>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</si>
  <si>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</si>
  <si>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</si>
  <si>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</si>
  <si>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</si>
  <si>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</si>
  <si>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</si>
  <si>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</si>
  <si>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</si>
  <si>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</si>
  <si>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</si>
  <si>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</si>
  <si>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</si>
  <si>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</si>
  <si>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</si>
  <si>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</si>
  <si>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</si>
  <si>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</si>
  <si>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</si>
  <si>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</si>
  <si>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</si>
  <si>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</si>
  <si>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</si>
  <si>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</si>
  <si>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</si>
  <si>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</si>
  <si>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</si>
  <si>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</si>
  <si>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</si>
  <si>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</si>
  <si>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</si>
  <si>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</si>
  <si>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</si>
  <si>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</si>
  <si>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</si>
  <si>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</si>
  <si>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</si>
  <si>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</si>
  <si>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</si>
  <si>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</si>
  <si>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</si>
  <si>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</si>
  <si>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</si>
  <si>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</si>
  <si>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</si>
  <si>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</si>
  <si>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</si>
  <si>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</si>
  <si>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</si>
  <si>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</si>
  <si>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</si>
  <si>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</si>
  <si>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</si>
  <si>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</si>
  <si>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</si>
  <si>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</si>
  <si>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</si>
  <si>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</si>
  <si>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</si>
  <si>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</si>
  <si>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</si>
  <si>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</si>
  <si>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</si>
  <si>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</si>
  <si>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</si>
  <si>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</si>
  <si>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</si>
  <si>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</si>
  <si>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</si>
  <si>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</si>
  <si>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</si>
  <si>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</si>
  <si>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</si>
  <si>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</si>
  <si>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</si>
  <si>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</si>
  <si>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</si>
  <si>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</si>
  <si>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</si>
  <si>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</si>
  <si>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</si>
  <si>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</si>
  <si>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</si>
  <si>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</si>
  <si>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</si>
  <si>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</si>
  <si>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</si>
  <si>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</si>
  <si>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</si>
  <si>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</si>
  <si>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</si>
  <si>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</si>
  <si>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</si>
  <si>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</si>
  <si>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</si>
  <si>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</si>
  <si>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</si>
  <si>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</si>
  <si>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</si>
  <si>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</si>
  <si>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</si>
  <si>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</si>
  <si>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</si>
  <si>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</si>
  <si>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</si>
  <si>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</si>
  <si>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</si>
  <si>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</si>
  <si>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</si>
  <si>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</si>
  <si>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</si>
  <si>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</si>
  <si>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</si>
  <si>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</si>
  <si>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</si>
  <si>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</si>
  <si>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</si>
  <si>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</si>
  <si>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</si>
  <si>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</si>
  <si>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</si>
  <si>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</si>
  <si>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</si>
  <si>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</si>
  <si>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</si>
  <si>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</si>
  <si>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</si>
  <si>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</si>
  <si>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</si>
  <si>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</si>
  <si>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</si>
  <si>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</si>
  <si>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</si>
  <si>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</si>
  <si>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</si>
  <si>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</si>
  <si>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</si>
  <si>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</si>
  <si>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</si>
  <si>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</si>
  <si>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</si>
  <si>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</si>
  <si>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</si>
  <si>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</si>
  <si>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</si>
  <si>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</si>
  <si>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</si>
  <si>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</si>
  <si>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</si>
  <si>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</si>
  <si>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</si>
  <si>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</si>
  <si>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</si>
  <si>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</si>
  <si>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</si>
  <si>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</si>
  <si>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</si>
  <si>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</si>
  <si>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</si>
  <si>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</si>
  <si>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</si>
  <si>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</si>
  <si>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</si>
  <si>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</si>
  <si>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</si>
  <si>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</si>
  <si>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</si>
  <si>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</si>
  <si>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</si>
  <si>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</si>
  <si>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</si>
  <si>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</si>
  <si>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</si>
  <si>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</si>
  <si>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</si>
  <si>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</si>
  <si>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</si>
  <si>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</si>
  <si>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</si>
  <si>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</si>
  <si>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</si>
  <si>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</si>
  <si>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</si>
  <si>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</si>
  <si>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</si>
  <si>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</si>
  <si>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</si>
  <si>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</si>
  <si>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</si>
  <si>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</si>
  <si>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</si>
  <si>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</si>
  <si>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</si>
  <si>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</si>
  <si>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</si>
  <si>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</si>
  <si>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</si>
  <si>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</si>
  <si>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</si>
  <si>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</si>
  <si>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</si>
  <si>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</si>
  <si>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</si>
  <si>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</si>
  <si>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</si>
  <si>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</si>
  <si>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</si>
  <si>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</si>
  <si>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</si>
  <si>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</si>
  <si>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</si>
  <si>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</si>
  <si>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</si>
  <si>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</si>
  <si>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</si>
  <si>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</si>
  <si>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</si>
  <si>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</si>
  <si>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</si>
  <si>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</si>
  <si>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</si>
  <si>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</si>
  <si>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</si>
  <si>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</si>
  <si>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</si>
  <si>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</si>
  <si>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</si>
  <si>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</si>
  <si>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</si>
  <si>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</si>
  <si>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</si>
  <si>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</si>
  <si>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</si>
  <si>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</si>
  <si>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</si>
  <si>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</si>
  <si>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</si>
  <si>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</si>
  <si>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</si>
  <si>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</si>
  <si>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</si>
  <si>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</si>
  <si>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</si>
  <si>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</si>
  <si>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</si>
  <si>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</si>
  <si>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</si>
  <si>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</si>
  <si>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</si>
  <si>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</si>
  <si>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</si>
  <si>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</si>
  <si>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</si>
  <si>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</si>
  <si>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</si>
  <si>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</si>
  <si>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</si>
  <si>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</si>
  <si>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</si>
  <si>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</si>
  <si>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</si>
  <si>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</si>
  <si>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</si>
  <si>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</si>
  <si>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</si>
  <si>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</si>
  <si>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</si>
  <si>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</si>
  <si>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</si>
  <si>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</si>
  <si>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</si>
  <si>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</si>
  <si>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</si>
  <si>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</si>
  <si>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</si>
  <si>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</si>
  <si>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</si>
  <si>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</si>
  <si>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</si>
  <si>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</si>
  <si>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</si>
  <si>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</si>
  <si>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</si>
  <si>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</si>
  <si>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</si>
  <si>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</si>
  <si>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</si>
  <si>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</si>
  <si>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</si>
  <si>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</si>
  <si>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</si>
  <si>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</si>
  <si>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</si>
  <si>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</si>
  <si>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</si>
  <si>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</si>
  <si>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</si>
  <si>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</si>
  <si>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</si>
  <si>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</si>
  <si>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</si>
  <si>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</si>
  <si>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</si>
  <si>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</si>
  <si>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</si>
  <si>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</si>
  <si>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</si>
  <si>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</si>
  <si>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</si>
  <si>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</si>
  <si>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</si>
  <si>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</si>
  <si>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</si>
  <si>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</si>
  <si>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</si>
  <si>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</si>
  <si>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</si>
  <si>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</si>
  <si>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</si>
  <si>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</si>
  <si>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</si>
  <si>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</si>
  <si>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</si>
  <si>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</si>
  <si>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</si>
  <si>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</si>
  <si>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</si>
  <si>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</si>
  <si>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</si>
  <si>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</si>
  <si>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</si>
  <si>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</si>
  <si>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</si>
  <si>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</si>
  <si>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</si>
  <si>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</si>
  <si>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</si>
  <si>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</si>
  <si>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</si>
  <si>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</si>
  <si>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</si>
  <si>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</si>
  <si>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</si>
  <si>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</si>
  <si>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</si>
  <si>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</si>
  <si>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</si>
  <si>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</si>
  <si>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</si>
  <si>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</si>
  <si>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</si>
  <si>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</si>
  <si>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</si>
  <si>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</si>
  <si>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</si>
  <si>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</si>
  <si>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</si>
  <si>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</si>
  <si>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</si>
  <si>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</si>
  <si>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</si>
  <si>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</si>
  <si>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</si>
  <si>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</si>
  <si>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</si>
  <si>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</si>
  <si>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</si>
  <si>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</si>
  <si>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</si>
  <si>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</si>
  <si>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</si>
  <si>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</si>
  <si>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</si>
  <si>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</si>
  <si>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</si>
  <si>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</si>
  <si>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</si>
  <si>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</si>
  <si>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</si>
  <si>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</si>
  <si>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</si>
  <si>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</si>
  <si>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</si>
  <si>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</si>
  <si>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</si>
  <si>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</si>
  <si>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</si>
  <si>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</si>
  <si>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</si>
  <si>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</si>
  <si>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</si>
  <si>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</si>
  <si>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</si>
  <si>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</si>
  <si>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</si>
  <si>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</si>
  <si>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</si>
  <si>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</si>
  <si>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</si>
  <si>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</si>
  <si>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</si>
  <si>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</si>
  <si>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</si>
  <si>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</si>
  <si>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</si>
  <si>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</si>
  <si>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</si>
  <si>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</si>
  <si>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</si>
  <si>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</si>
  <si>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</si>
  <si>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</si>
  <si>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</si>
  <si>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</si>
  <si>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</si>
  <si>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</si>
  <si>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</si>
  <si>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</si>
  <si>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</si>
  <si>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</si>
  <si>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</si>
  <si>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</si>
  <si>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</si>
  <si>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</si>
  <si>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</si>
  <si>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</si>
  <si>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</si>
  <si>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</si>
  <si>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</si>
  <si>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</si>
  <si>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</si>
  <si>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</si>
  <si>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</si>
  <si>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</si>
  <si>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</si>
  <si>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</si>
  <si>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</si>
  <si>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</si>
  <si>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</si>
  <si>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</si>
  <si>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</si>
  <si>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</si>
  <si>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</si>
  <si>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</si>
  <si>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</si>
  <si>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</si>
  <si>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</si>
  <si>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</si>
  <si>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</si>
  <si>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</si>
  <si>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</si>
  <si>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</si>
  <si>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</si>
  <si>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</si>
  <si>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</si>
  <si>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</si>
  <si>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</si>
  <si>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</si>
  <si>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</si>
  <si>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</si>
  <si>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</si>
  <si>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</si>
  <si>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</si>
  <si>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</si>
  <si>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</si>
  <si>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</si>
  <si>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</si>
  <si>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</si>
  <si>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</si>
  <si>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</si>
  <si>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</si>
  <si>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</si>
  <si>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</si>
  <si>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</si>
  <si>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</si>
  <si>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</si>
  <si>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</si>
  <si>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</si>
  <si>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</si>
  <si>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</si>
  <si>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</si>
  <si>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</si>
  <si>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</si>
  <si>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</si>
  <si>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</si>
  <si>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</si>
  <si>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</si>
  <si>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</si>
  <si>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</si>
  <si>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</si>
  <si>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</si>
  <si>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</si>
  <si>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</si>
  <si>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</si>
  <si>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</si>
  <si>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</si>
  <si>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</si>
  <si>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</si>
  <si>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</si>
  <si>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</si>
  <si>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</si>
  <si>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</si>
  <si>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</si>
  <si>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</si>
  <si>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</si>
  <si>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</si>
  <si>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</si>
  <si>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</si>
  <si>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</si>
  <si>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</si>
  <si>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</si>
  <si>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</si>
  <si>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</si>
  <si>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</si>
  <si>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</si>
  <si>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</si>
  <si>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</si>
  <si>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</si>
  <si>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</si>
  <si>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</si>
  <si>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</si>
  <si>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</si>
  <si>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</si>
  <si>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</si>
  <si>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</si>
  <si>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</si>
  <si>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</si>
  <si>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</si>
  <si>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</si>
  <si>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</si>
  <si>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</si>
  <si>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</si>
  <si>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</si>
  <si>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</si>
  <si>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</si>
  <si>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</si>
  <si>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</si>
  <si>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</si>
  <si>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</si>
  <si>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</si>
  <si>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</si>
  <si>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</si>
  <si>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</si>
  <si>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</si>
  <si>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</si>
  <si>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</si>
  <si>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</si>
  <si>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</si>
  <si>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</si>
  <si>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</si>
  <si>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</si>
  <si>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</si>
  <si>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</si>
  <si>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</si>
  <si>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</si>
  <si>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</si>
  <si>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</si>
  <si>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</si>
  <si>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</si>
  <si>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</si>
  <si>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</si>
  <si>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</si>
  <si>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</si>
  <si>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</si>
  <si>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</si>
  <si>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</si>
  <si>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</si>
  <si>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</si>
  <si>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</si>
  <si>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</si>
  <si>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</si>
  <si>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</si>
  <si>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</si>
  <si>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</si>
  <si>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</si>
  <si>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</si>
  <si>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</si>
  <si>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</si>
  <si>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</si>
  <si>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</si>
  <si>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</si>
  <si>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</si>
  <si>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</si>
  <si>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</si>
  <si>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</si>
  <si>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</si>
  <si>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</si>
  <si>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</si>
  <si>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</si>
  <si>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</si>
  <si>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</si>
  <si>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</si>
  <si>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</si>
  <si>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</si>
  <si>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</si>
  <si>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</si>
  <si>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</si>
  <si>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</si>
  <si>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</si>
  <si>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</si>
  <si>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</si>
  <si>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</si>
  <si>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</si>
  <si>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</si>
  <si>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</si>
  <si>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</si>
  <si>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</si>
  <si>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</si>
  <si>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</si>
  <si>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</si>
  <si>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</si>
  <si>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</si>
  <si>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</si>
  <si>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</si>
  <si>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</si>
  <si>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</si>
  <si>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</si>
  <si>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</si>
  <si>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</si>
  <si>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</si>
  <si>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</si>
  <si>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</si>
  <si>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</si>
  <si>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</si>
  <si>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</si>
  <si>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</si>
  <si>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</si>
  <si>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</si>
  <si>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</si>
  <si>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</si>
  <si>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</si>
  <si>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</si>
  <si>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</si>
  <si>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</si>
  <si>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</si>
  <si>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</si>
  <si>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</si>
  <si>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</si>
  <si>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</si>
  <si>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</si>
  <si>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</si>
  <si>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</si>
  <si>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</si>
  <si>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</si>
  <si>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</si>
  <si>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</si>
  <si>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</si>
  <si>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</si>
  <si>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</si>
  <si>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</si>
  <si>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</si>
  <si>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</si>
  <si>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</si>
  <si>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</si>
  <si>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</si>
  <si>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</si>
  <si>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</si>
  <si>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</si>
  <si>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</si>
  <si>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</si>
  <si>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</si>
  <si>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</si>
  <si>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</si>
  <si>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</si>
  <si>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</si>
  <si>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</si>
  <si>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</si>
  <si>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</si>
  <si>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</si>
  <si>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</si>
  <si>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</si>
  <si>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</si>
  <si>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</si>
  <si>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</si>
  <si>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</si>
  <si>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</si>
  <si>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</si>
  <si>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</si>
  <si>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</si>
  <si>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</si>
  <si>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</si>
  <si>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</si>
  <si>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</si>
  <si>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</si>
  <si>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</si>
  <si>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</si>
  <si>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</si>
  <si>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</si>
  <si>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</si>
  <si>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</si>
  <si>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</si>
  <si>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</si>
  <si>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</si>
  <si>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</si>
  <si>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</si>
  <si>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</si>
  <si>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</si>
  <si>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</si>
  <si>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</si>
  <si>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</si>
  <si>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</si>
  <si>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</si>
  <si>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</si>
  <si>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</si>
  <si>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</si>
  <si>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</si>
  <si>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</si>
  <si>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</si>
  <si>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</si>
  <si>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</si>
  <si>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</si>
  <si>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</si>
  <si>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</si>
  <si>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</si>
  <si>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</si>
  <si>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</si>
  <si>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</si>
  <si>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</si>
  <si>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</si>
  <si>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</si>
  <si>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</si>
  <si>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</si>
  <si>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</si>
  <si>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</si>
  <si>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</si>
  <si>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</si>
  <si>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</si>
  <si>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</si>
  <si>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</si>
  <si>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</si>
  <si>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</si>
  <si>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</si>
  <si>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</si>
  <si>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</si>
  <si>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</si>
  <si>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</si>
  <si>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</si>
  <si>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</si>
  <si>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</si>
  <si>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</si>
  <si>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</si>
  <si>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</si>
  <si>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</si>
  <si>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</si>
  <si>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</si>
  <si>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</si>
  <si>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</si>
  <si>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</si>
  <si>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</si>
  <si>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</si>
  <si>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</si>
  <si>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</si>
  <si>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</si>
  <si>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</si>
  <si>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</si>
  <si>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</si>
  <si>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</si>
  <si>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</si>
  <si>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</si>
  <si>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</si>
  <si>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</si>
  <si>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</si>
  <si>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</si>
  <si>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</si>
  <si>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</si>
  <si>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</si>
  <si>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</si>
  <si>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</si>
  <si>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</si>
  <si>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</si>
  <si>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</si>
  <si>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</si>
  <si>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</si>
  <si>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</si>
  <si>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</si>
  <si>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</si>
  <si>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</si>
  <si>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</si>
  <si>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</si>
  <si>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</si>
  <si>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</si>
  <si>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</si>
  <si>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</si>
  <si>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</si>
  <si>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</si>
  <si>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</si>
  <si>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</si>
  <si>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</si>
  <si>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</si>
  <si>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</si>
  <si>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</si>
  <si>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</si>
  <si>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</si>
  <si>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</si>
  <si>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</si>
  <si>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</si>
  <si>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</si>
  <si>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</si>
  <si>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</si>
  <si>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</si>
  <si>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</si>
  <si>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</si>
  <si>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</si>
  <si>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</si>
  <si>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</si>
  <si>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</si>
  <si>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</si>
  <si>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</si>
  <si>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</si>
  <si>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</si>
  <si>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</si>
  <si>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</si>
  <si>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</si>
  <si>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</si>
  <si>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</si>
  <si>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</si>
  <si>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</si>
  <si>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</si>
  <si>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</si>
  <si>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</si>
  <si>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</si>
  <si>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</si>
  <si>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</si>
  <si>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</si>
  <si>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</si>
  <si>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</si>
  <si>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</si>
  <si>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</si>
  <si>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</si>
  <si>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</si>
  <si>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</si>
  <si>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</si>
  <si>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</si>
  <si>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</si>
  <si>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</si>
  <si>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</si>
  <si>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</si>
  <si>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</si>
  <si>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</si>
  <si>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</si>
  <si>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</si>
  <si>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</si>
  <si>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</si>
  <si>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</si>
  <si>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</si>
  <si>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</si>
  <si>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</si>
  <si>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</si>
  <si>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</si>
  <si>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</si>
  <si>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</si>
  <si>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</si>
  <si>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</si>
  <si>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</si>
  <si>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</si>
  <si>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</si>
  <si>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</si>
  <si>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</si>
  <si>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</si>
  <si>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</si>
  <si>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</si>
  <si>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</si>
  <si>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</si>
  <si>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</si>
  <si>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</si>
  <si>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</si>
  <si>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</si>
  <si>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</si>
  <si>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</si>
  <si>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</si>
  <si>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</si>
  <si>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</si>
  <si>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</si>
  <si>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</si>
  <si>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</si>
  <si>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</si>
  <si>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</si>
  <si>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</si>
  <si>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</si>
  <si>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</si>
  <si>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</si>
  <si>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</si>
  <si>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</si>
  <si>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</si>
  <si>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</si>
  <si>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</si>
  <si>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</si>
  <si>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</si>
  <si>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</si>
  <si>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</si>
  <si>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</si>
  <si>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</si>
  <si>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</si>
  <si>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</si>
  <si>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</si>
  <si>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</si>
  <si>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</si>
  <si>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</si>
  <si>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</si>
  <si>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</si>
  <si>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</si>
  <si>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</si>
  <si>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</si>
  <si>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</si>
  <si>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</si>
  <si>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</si>
  <si>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</si>
  <si>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</si>
  <si>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</si>
  <si>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</si>
  <si>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</si>
  <si>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</si>
  <si>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</si>
  <si>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</si>
  <si>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</si>
  <si>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</si>
  <si>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</si>
  <si>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</si>
  <si>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</si>
  <si>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</si>
  <si>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</si>
  <si>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</si>
  <si>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</si>
  <si>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</si>
  <si>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</si>
  <si>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</si>
  <si>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</si>
  <si>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</si>
  <si>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</si>
  <si>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</si>
  <si>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</si>
  <si>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</si>
  <si>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</si>
  <si>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</si>
  <si>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</si>
  <si>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</si>
  <si>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</si>
  <si>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</si>
  <si>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</si>
  <si>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</si>
  <si>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</si>
  <si>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</si>
  <si>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</si>
  <si>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</si>
  <si>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</si>
  <si>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</si>
  <si>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</si>
  <si>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</si>
  <si>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</si>
  <si>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</si>
  <si>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</si>
  <si>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</si>
  <si>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</si>
  <si>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</si>
  <si>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</si>
  <si>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</si>
  <si>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</si>
  <si>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</si>
  <si>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</si>
  <si>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</si>
  <si>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</si>
  <si>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</si>
  <si>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</si>
  <si>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</si>
  <si>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</si>
  <si>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</si>
  <si>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</si>
  <si>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</si>
  <si>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</si>
  <si>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</si>
  <si>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</si>
  <si>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</si>
  <si>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</si>
  <si>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</si>
  <si>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</si>
  <si>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</si>
  <si>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</si>
  <si>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</si>
  <si>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</si>
  <si>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</si>
  <si>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</si>
  <si>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</si>
  <si>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</si>
  <si>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</si>
  <si>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</si>
  <si>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</si>
  <si>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</si>
  <si>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</si>
  <si>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</si>
  <si>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</si>
  <si>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</si>
  <si>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</si>
  <si>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</si>
  <si>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</si>
  <si>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</si>
  <si>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</si>
  <si>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</si>
  <si>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</si>
  <si>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</si>
  <si>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</si>
  <si>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</si>
  <si>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</si>
  <si>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</si>
  <si>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</si>
  <si>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</si>
  <si>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</si>
  <si>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</si>
  <si>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</si>
  <si>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</si>
  <si>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</si>
  <si>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</si>
  <si>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</si>
  <si>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</si>
  <si>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</si>
  <si>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</si>
  <si>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</si>
  <si>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</si>
  <si>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</si>
  <si>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</si>
  <si>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</si>
  <si>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</si>
  <si>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</si>
  <si>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</si>
  <si>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</si>
  <si>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</si>
  <si>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</si>
  <si>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</si>
  <si>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</si>
  <si>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</si>
  <si>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</si>
  <si>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</si>
  <si>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</si>
  <si>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</si>
  <si>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</si>
  <si>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</si>
  <si>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</si>
  <si>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</si>
  <si>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</si>
  <si>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</si>
  <si>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</si>
  <si>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</si>
  <si>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</si>
  <si>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</si>
  <si>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</si>
  <si>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</si>
  <si>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</si>
  <si>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</si>
  <si>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</si>
  <si>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</si>
  <si>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</si>
  <si>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</si>
  <si>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</si>
  <si>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</si>
  <si>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</si>
  <si>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</si>
  <si>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</si>
  <si>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</si>
  <si>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</si>
  <si>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</si>
  <si>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</si>
  <si>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</si>
  <si>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</si>
  <si>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</si>
  <si>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</si>
  <si>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</si>
  <si>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</si>
  <si>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</si>
  <si>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</si>
  <si>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</si>
  <si>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</si>
  <si>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</si>
  <si>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</si>
  <si>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</si>
  <si>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</si>
  <si>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</si>
  <si>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</si>
  <si>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</si>
  <si>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</si>
  <si>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</si>
  <si>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</si>
  <si>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</si>
  <si>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</si>
  <si>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</si>
  <si>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</si>
  <si>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</si>
  <si>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</si>
  <si>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</si>
  <si>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</si>
  <si>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</si>
  <si>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</si>
  <si>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</si>
  <si>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</si>
  <si>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</si>
  <si>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</si>
  <si>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</si>
  <si>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</si>
  <si>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</si>
  <si>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</si>
  <si>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</si>
  <si>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</si>
  <si>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</si>
  <si>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</si>
  <si>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</si>
  <si>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</si>
  <si>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</si>
  <si>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</si>
  <si>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</si>
  <si>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</si>
  <si>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</si>
  <si>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</si>
  <si>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</si>
  <si>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</si>
  <si>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</si>
  <si>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</si>
  <si>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</si>
  <si>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</si>
  <si>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</si>
  <si>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</si>
  <si>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</si>
  <si>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</si>
  <si>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</si>
  <si>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</si>
  <si>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</si>
  <si>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</si>
  <si>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</si>
  <si>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</si>
  <si>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</si>
  <si>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</si>
  <si>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</si>
  <si>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</si>
  <si>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</si>
  <si>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</si>
  <si>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</si>
  <si>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</si>
  <si>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</si>
  <si>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</si>
  <si>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</si>
  <si>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</si>
  <si>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</si>
  <si>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</si>
  <si>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</si>
  <si>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</si>
  <si>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</si>
  <si>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</si>
  <si>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</si>
  <si>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</si>
  <si>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</si>
  <si>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</si>
  <si>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</si>
  <si>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</si>
  <si>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</si>
  <si>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</si>
  <si>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</si>
  <si>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</si>
  <si>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</si>
  <si>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</si>
  <si>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</si>
  <si>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</si>
  <si>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</si>
  <si>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</si>
  <si>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</si>
  <si>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</si>
  <si>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</si>
  <si>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</si>
  <si>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</si>
  <si>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</si>
  <si>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</si>
  <si>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</si>
  <si>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</si>
  <si>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</si>
  <si>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</si>
  <si>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</si>
  <si>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</si>
  <si>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</si>
  <si>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</si>
  <si>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</si>
  <si>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</si>
  <si>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</si>
  <si>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</si>
  <si>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</si>
  <si>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</si>
  <si>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</si>
  <si>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</si>
  <si>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</si>
  <si>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</si>
  <si>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</si>
  <si>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</si>
  <si>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</si>
  <si>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</si>
  <si>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</si>
  <si>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</si>
  <si>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</si>
  <si>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</si>
  <si>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</si>
  <si>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</si>
  <si>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</si>
  <si>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</si>
  <si>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</si>
  <si>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</si>
  <si>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</si>
  <si>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</si>
  <si>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</si>
  <si>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</si>
  <si>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</si>
  <si>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</si>
  <si>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</si>
  <si>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</si>
  <si>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</si>
  <si>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</si>
  <si>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</si>
  <si>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</si>
  <si>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</si>
  <si>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</si>
  <si>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</si>
  <si>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</si>
  <si>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</si>
  <si>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</si>
  <si>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</si>
  <si>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</si>
  <si>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</si>
  <si>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</si>
  <si>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</si>
  <si>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</si>
  <si>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</si>
  <si>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</si>
  <si>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</si>
  <si>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</si>
  <si>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</si>
  <si>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</si>
  <si>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</si>
  <si>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</si>
  <si>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</si>
  <si>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</si>
  <si>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</si>
  <si>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</si>
  <si>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</si>
  <si>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</si>
  <si>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</si>
  <si>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</si>
  <si>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</si>
  <si>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</si>
  <si>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</si>
  <si>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</si>
  <si>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</si>
  <si>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</si>
  <si>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</si>
  <si>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</si>
  <si>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</si>
  <si>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</si>
  <si>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</si>
  <si>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</si>
  <si>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</si>
  <si>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</si>
  <si>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</si>
  <si>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</si>
  <si>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</si>
  <si>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</si>
  <si>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</si>
  <si>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</si>
  <si>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</si>
  <si>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</si>
  <si>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</si>
  <si>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</si>
  <si>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</si>
  <si>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</si>
  <si>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</si>
  <si>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</si>
  <si>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</si>
  <si>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</si>
  <si>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</si>
  <si>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</si>
  <si>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</si>
  <si>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</si>
  <si>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</si>
  <si>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</si>
  <si>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</si>
  <si>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</si>
  <si>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</si>
  <si>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</si>
  <si>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</si>
  <si>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</si>
  <si>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</si>
  <si>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</si>
  <si>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</si>
  <si>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</si>
  <si>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</si>
  <si>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</si>
  <si>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</si>
  <si>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</si>
  <si>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</si>
  <si>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</si>
  <si>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</si>
  <si>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</si>
  <si>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</si>
  <si>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</si>
  <si>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</si>
  <si>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</si>
  <si>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</si>
  <si>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</si>
  <si>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</si>
  <si>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</si>
  <si>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</si>
  <si>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</si>
  <si>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</si>
  <si>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</si>
  <si>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</si>
  <si>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</si>
  <si>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</si>
  <si>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</si>
  <si>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</si>
  <si>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</si>
  <si>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</si>
  <si>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</si>
  <si>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</si>
  <si>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</si>
  <si>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</si>
  <si>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</si>
  <si>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</si>
  <si>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</si>
  <si>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</si>
  <si>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</si>
  <si>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</si>
  <si>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</si>
  <si>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</si>
  <si>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</si>
  <si>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</si>
  <si>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</si>
  <si>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</si>
  <si>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</si>
  <si>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</si>
  <si>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</si>
  <si>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</si>
  <si>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</si>
  <si>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</si>
  <si>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</si>
  <si>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</si>
  <si>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</si>
  <si>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</si>
  <si>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</si>
  <si>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</si>
  <si>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</si>
  <si>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</si>
  <si>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</si>
  <si>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</si>
  <si>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</si>
  <si>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</si>
  <si>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</si>
  <si>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</si>
  <si>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</si>
  <si>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</si>
  <si>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</si>
  <si>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</si>
  <si>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</si>
  <si>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</si>
  <si>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</si>
  <si>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</si>
  <si>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</si>
  <si>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</si>
  <si>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</si>
  <si>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</si>
  <si>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</si>
  <si>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</si>
  <si>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</si>
  <si>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</si>
  <si>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</si>
  <si>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</si>
  <si>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</si>
  <si>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</si>
  <si>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</si>
  <si>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</si>
  <si>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</si>
  <si>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</si>
  <si>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</si>
  <si>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</si>
  <si>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</si>
  <si>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</si>
  <si>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</si>
  <si>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</si>
  <si>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</si>
  <si>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</si>
  <si>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</si>
  <si>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</si>
  <si>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</si>
  <si>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</si>
  <si>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</si>
  <si>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</si>
  <si>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</si>
  <si>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</si>
  <si>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</si>
  <si>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</si>
  <si>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</si>
  <si>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</si>
  <si>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</si>
  <si>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</si>
  <si>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</si>
  <si>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</si>
  <si>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</si>
  <si>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</si>
  <si>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</si>
  <si>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</si>
  <si>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</si>
  <si>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</si>
  <si>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</si>
  <si>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</si>
  <si>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</si>
  <si>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</si>
  <si>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</si>
  <si>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</si>
  <si>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</si>
  <si>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</si>
  <si>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</si>
  <si>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</si>
  <si>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</si>
  <si>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</si>
  <si>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</si>
  <si>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</si>
  <si>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</si>
  <si>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</si>
  <si>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</si>
  <si>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</si>
  <si>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</si>
  <si>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</si>
  <si>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</si>
  <si>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</si>
  <si>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</si>
  <si>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</si>
  <si>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</si>
  <si>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</si>
  <si>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</si>
  <si>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</si>
  <si>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</si>
  <si>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</si>
  <si>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</si>
  <si>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</si>
  <si>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</si>
  <si>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</si>
  <si>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</si>
  <si>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</si>
  <si>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</si>
  <si>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</si>
  <si>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</si>
  <si>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</si>
  <si>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</si>
  <si>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</si>
  <si>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</si>
  <si>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</si>
  <si>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</si>
  <si>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</si>
  <si>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</si>
  <si>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</si>
  <si>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</si>
  <si>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</si>
  <si>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</si>
  <si>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</si>
  <si>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</si>
  <si>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</si>
  <si>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</si>
  <si>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</si>
  <si>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</si>
  <si>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</si>
  <si>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</si>
  <si>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</si>
  <si>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</si>
  <si>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</si>
  <si>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</si>
  <si>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</si>
  <si>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</si>
  <si>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</si>
  <si>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</si>
  <si>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</si>
  <si>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</si>
  <si>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</si>
  <si>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</si>
  <si>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</si>
  <si>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</si>
  <si>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</si>
  <si>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</si>
  <si>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</si>
  <si>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</si>
  <si>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</si>
  <si>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</si>
  <si>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</si>
  <si>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</si>
  <si>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</si>
  <si>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</si>
  <si>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</si>
  <si>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</si>
  <si>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</si>
  <si>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</si>
  <si>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</si>
  <si>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</si>
  <si>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</si>
  <si>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</si>
  <si>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</si>
  <si>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</si>
  <si>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</si>
  <si>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</si>
  <si>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</si>
  <si>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</si>
  <si>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</si>
  <si>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</si>
  <si>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</si>
  <si>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</si>
  <si>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</si>
  <si>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</si>
  <si>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</si>
  <si>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</si>
  <si>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</si>
  <si>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</si>
  <si>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</si>
  <si>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</si>
  <si>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</si>
  <si>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</si>
  <si>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</si>
  <si>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</si>
  <si>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</si>
  <si>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</si>
  <si>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</si>
  <si>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</si>
  <si>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</si>
  <si>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</si>
  <si>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</si>
  <si>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</si>
  <si>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</si>
  <si>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</si>
  <si>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</si>
  <si>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</si>
  <si>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</si>
  <si>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</si>
  <si>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</si>
  <si>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</si>
  <si>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</si>
  <si>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</si>
  <si>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</si>
  <si>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</si>
  <si>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</si>
  <si>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</si>
  <si>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</si>
  <si>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</si>
  <si>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</si>
  <si>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</si>
  <si>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</si>
  <si>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</si>
  <si>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</si>
  <si>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</si>
  <si>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</si>
  <si>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</si>
  <si>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</si>
  <si>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</si>
  <si>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</si>
  <si>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</si>
  <si>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</si>
  <si>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</si>
  <si>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</si>
  <si>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</si>
  <si>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</si>
  <si>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</si>
  <si>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</si>
  <si>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</si>
  <si>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</si>
  <si>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</si>
  <si>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</si>
  <si>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</si>
  <si>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</si>
  <si>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</si>
  <si>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</si>
  <si>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</si>
  <si>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</si>
  <si>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</si>
  <si>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</si>
  <si>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</si>
  <si>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</si>
  <si>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</si>
  <si>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</si>
  <si>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</si>
  <si>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</si>
  <si>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</si>
  <si>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</si>
  <si>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</si>
  <si>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</si>
  <si>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</si>
  <si>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</si>
  <si>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</si>
  <si>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</si>
  <si>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</si>
  <si>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</si>
  <si>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</si>
  <si>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</si>
  <si>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</si>
  <si>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</si>
  <si>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</si>
  <si>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</si>
  <si>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</si>
  <si>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</si>
  <si>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</si>
  <si>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</si>
  <si>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</si>
  <si>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</si>
  <si>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</si>
  <si>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</si>
  <si>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</si>
  <si>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</si>
  <si>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</si>
  <si>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</si>
  <si>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</si>
  <si>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</si>
  <si>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</si>
  <si>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</si>
  <si>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</si>
  <si>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</si>
  <si>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</si>
  <si>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</si>
  <si>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</si>
  <si>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</si>
  <si>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</si>
  <si>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</si>
  <si>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</si>
  <si>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</si>
  <si>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</si>
  <si>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</si>
  <si>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</si>
  <si>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</si>
  <si>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</si>
  <si>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</si>
  <si>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</si>
  <si>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</si>
  <si>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</si>
  <si>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</si>
  <si>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</si>
  <si>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</si>
  <si>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</si>
  <si>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</si>
  <si>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</si>
  <si>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</si>
  <si>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</si>
  <si>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</si>
  <si>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</si>
  <si>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</si>
  <si>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</si>
  <si>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</si>
  <si>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</si>
  <si>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</si>
  <si>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</si>
  <si>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</si>
  <si>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</si>
  <si>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</si>
  <si>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</si>
  <si>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</si>
  <si>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</si>
  <si>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</si>
  <si>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</si>
  <si>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</si>
  <si>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</si>
  <si>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</si>
  <si>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</si>
  <si>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</si>
  <si>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</si>
  <si>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</si>
  <si>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</si>
  <si>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</si>
  <si>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</si>
  <si>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</si>
  <si>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</si>
  <si>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</si>
  <si>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</si>
  <si>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</si>
  <si>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</si>
  <si>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</si>
  <si>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</si>
  <si>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</si>
  <si>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</si>
  <si>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</si>
  <si>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</si>
  <si>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</si>
  <si>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</si>
  <si>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</si>
  <si>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</si>
  <si>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</si>
  <si>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</si>
  <si>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</si>
  <si>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</si>
  <si>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</si>
  <si>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</si>
  <si>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</si>
  <si>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</si>
  <si>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</si>
  <si>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</si>
  <si>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</si>
  <si>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</si>
  <si>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</si>
  <si>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</si>
  <si>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</si>
  <si>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</si>
  <si>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</si>
  <si>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</si>
  <si>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</si>
  <si>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</si>
  <si>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</si>
  <si>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</si>
  <si>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</si>
  <si>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</si>
  <si>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</si>
  <si>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</si>
  <si>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</si>
  <si>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</si>
  <si>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</si>
  <si>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</si>
  <si>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</si>
  <si>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</si>
  <si>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</si>
  <si>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</si>
  <si>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</si>
  <si>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</si>
  <si>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</si>
  <si>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</si>
  <si>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</si>
  <si>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</si>
  <si>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</si>
  <si>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</si>
  <si>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</si>
  <si>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</si>
  <si>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</si>
  <si>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</si>
  <si>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</si>
  <si>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</si>
  <si>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</si>
  <si>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</si>
  <si>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</si>
  <si>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</si>
  <si>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</si>
  <si>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</si>
  <si>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</si>
  <si>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</si>
  <si>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</si>
  <si>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</si>
  <si>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</si>
  <si>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</si>
  <si>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</si>
  <si>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</si>
  <si>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</si>
  <si>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</si>
  <si>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</si>
  <si>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</si>
  <si>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</si>
  <si>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</si>
  <si>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</si>
  <si>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</si>
  <si>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</si>
  <si>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</si>
  <si>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</si>
  <si>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</si>
  <si>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</si>
  <si>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</si>
  <si>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</si>
  <si>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</si>
  <si>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</si>
  <si>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</si>
  <si>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</si>
  <si>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</si>
  <si>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</si>
  <si>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</si>
  <si>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</si>
  <si>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</si>
  <si>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</si>
  <si>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</si>
  <si>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</si>
  <si>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</si>
  <si>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</si>
  <si>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</si>
  <si>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</si>
  <si>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</si>
  <si>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</si>
  <si>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</si>
  <si>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</si>
  <si>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</si>
  <si>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</si>
  <si>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</si>
  <si>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</si>
  <si>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</si>
  <si>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</si>
  <si>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</si>
  <si>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</si>
  <si>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</si>
  <si>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</si>
  <si>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</si>
  <si>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</si>
  <si>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</si>
  <si>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</si>
  <si>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</si>
  <si>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</si>
  <si>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</si>
  <si>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</si>
  <si>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</si>
  <si>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</si>
  <si>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</si>
  <si>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</si>
  <si>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</si>
  <si>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</si>
  <si>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</si>
  <si>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</si>
  <si>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</si>
  <si>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</si>
  <si>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</si>
  <si>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</si>
  <si>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</si>
  <si>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</si>
  <si>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</si>
  <si>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</si>
  <si>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</si>
  <si>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</si>
  <si>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</si>
  <si>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</si>
  <si>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</si>
  <si>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</si>
  <si>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</si>
  <si>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</si>
  <si>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</si>
  <si>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</si>
  <si>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</si>
  <si>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</si>
  <si>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</si>
  <si>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</si>
  <si>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</si>
  <si>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</si>
  <si>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</si>
  <si>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</si>
  <si>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</si>
  <si>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</si>
  <si>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</si>
  <si>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</si>
  <si>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</si>
  <si>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</si>
  <si>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</si>
  <si>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</si>
  <si>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</si>
  <si>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</si>
  <si>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</si>
  <si>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</si>
  <si>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</si>
  <si>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</si>
  <si>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</si>
  <si>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</si>
  <si>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</si>
  <si>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</si>
  <si>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</si>
  <si>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</si>
  <si>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</si>
  <si>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</si>
  <si>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</si>
  <si>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</si>
  <si>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</si>
  <si>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</si>
  <si>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</si>
  <si>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</si>
  <si>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</si>
  <si>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</si>
  <si>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</si>
  <si>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</si>
  <si>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</si>
  <si>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</si>
  <si>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</si>
  <si>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</si>
  <si>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</si>
  <si>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</si>
  <si>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</si>
  <si>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</si>
  <si>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</si>
  <si>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</si>
  <si>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</si>
  <si>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</si>
  <si>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</si>
  <si>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</si>
  <si>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</si>
  <si>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</si>
  <si>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</si>
  <si>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</si>
  <si>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</si>
  <si>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</si>
  <si>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</si>
  <si>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</si>
  <si>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</si>
  <si>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</si>
  <si>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</si>
  <si>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</si>
  <si>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</si>
  <si>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</si>
  <si>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</si>
  <si>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</si>
  <si>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</si>
  <si>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</si>
  <si>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</si>
  <si>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</si>
  <si>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</si>
  <si>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</si>
  <si>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</si>
  <si>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</si>
  <si>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</si>
  <si>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</si>
  <si>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</si>
  <si>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</si>
  <si>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</si>
  <si>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</si>
  <si>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</si>
  <si>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</si>
  <si>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</si>
  <si>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</si>
  <si>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</si>
  <si>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</si>
  <si>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</si>
  <si>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</si>
  <si>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</si>
  <si>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</si>
  <si>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</si>
  <si>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</si>
  <si>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</si>
  <si>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</si>
  <si>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</si>
  <si>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</si>
  <si>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</si>
  <si>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</si>
  <si>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</si>
  <si>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</si>
  <si>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</si>
  <si>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</si>
  <si>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</si>
  <si>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</si>
  <si>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</si>
  <si>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</si>
  <si>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</si>
  <si>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</si>
  <si>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</si>
  <si>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</si>
  <si>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</si>
  <si>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</si>
  <si>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</si>
  <si>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</si>
  <si>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</si>
  <si>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</si>
  <si>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</si>
  <si>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</si>
  <si>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</si>
  <si>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</si>
  <si>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</si>
  <si>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</si>
  <si>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</si>
  <si>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</si>
  <si>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</si>
  <si>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</si>
  <si>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</si>
  <si>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</si>
  <si>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</si>
  <si>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</si>
  <si>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</si>
  <si>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</si>
  <si>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</si>
  <si>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</si>
  <si>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</si>
  <si>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</si>
  <si>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</si>
  <si>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</si>
  <si>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</si>
  <si>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</si>
  <si>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</si>
  <si>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</si>
  <si>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</si>
  <si>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</si>
  <si>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</si>
  <si>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</si>
  <si>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</si>
  <si>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</si>
  <si>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</si>
  <si>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</si>
  <si>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</si>
  <si>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</si>
  <si>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</si>
  <si>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</si>
  <si>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</si>
  <si>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</si>
  <si>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</si>
  <si>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</si>
  <si>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</si>
  <si>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</si>
  <si>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</si>
  <si>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</si>
  <si>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</si>
  <si>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</si>
  <si>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</si>
  <si>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</si>
  <si>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</si>
  <si>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</si>
  <si>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</si>
  <si>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</si>
  <si>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</si>
  <si>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</si>
  <si>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</si>
  <si>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</si>
  <si>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</si>
  <si>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</si>
  <si>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</si>
  <si>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</si>
  <si>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</si>
  <si>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</si>
  <si>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</si>
  <si>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</si>
  <si>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</si>
  <si>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</si>
  <si>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</si>
  <si>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</si>
  <si>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</si>
  <si>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</si>
  <si>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</si>
  <si>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</si>
  <si>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</si>
  <si>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</si>
  <si>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</si>
  <si>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</si>
  <si>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</si>
  <si>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</si>
  <si>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</si>
  <si>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</si>
  <si>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</si>
  <si>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</si>
  <si>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</si>
  <si>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</si>
  <si>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</si>
  <si>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</si>
  <si>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</si>
  <si>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</si>
  <si>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</si>
  <si>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</si>
  <si>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</si>
  <si>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</si>
  <si>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</si>
  <si>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</si>
  <si>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</si>
  <si>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</si>
  <si>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</si>
  <si>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</si>
  <si>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</si>
  <si>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</si>
  <si>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</si>
  <si>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</si>
  <si>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</si>
  <si>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</si>
  <si>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</si>
  <si>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</si>
  <si>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</si>
  <si>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</si>
  <si>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</si>
  <si>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</si>
  <si>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</si>
  <si>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</si>
  <si>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</si>
  <si>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</si>
  <si>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</si>
  <si>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</si>
  <si>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</si>
  <si>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</si>
  <si>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</si>
  <si>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</si>
  <si>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</si>
  <si>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</si>
  <si>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</si>
  <si>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</si>
  <si>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</si>
  <si>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</si>
  <si>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</si>
  <si>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</si>
  <si>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</si>
  <si>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</si>
  <si>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</si>
  <si>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</si>
  <si>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</si>
  <si>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</si>
  <si>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</si>
  <si>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</si>
  <si>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</si>
  <si>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</si>
  <si>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</si>
  <si>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</si>
  <si>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</si>
  <si>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</si>
  <si>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</si>
  <si>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</si>
  <si>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</si>
  <si>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</si>
  <si>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</si>
  <si>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</si>
  <si>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</si>
  <si>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</si>
  <si>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</si>
  <si>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</si>
  <si>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</si>
  <si>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</si>
  <si>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</si>
  <si>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</si>
  <si>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</si>
  <si>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</si>
  <si>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</si>
  <si>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</si>
  <si>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</si>
  <si>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</si>
  <si>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</si>
  <si>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</si>
  <si>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</si>
  <si>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</si>
  <si>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</si>
  <si>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</si>
  <si>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</si>
  <si>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</si>
  <si>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</si>
  <si>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</si>
  <si>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</si>
  <si>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</si>
  <si>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</si>
  <si>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</si>
  <si>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</si>
  <si>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</si>
  <si>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</si>
  <si>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</si>
  <si>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</si>
  <si>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</si>
  <si>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</si>
  <si>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</si>
  <si>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</si>
  <si>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</si>
  <si>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</si>
  <si>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</si>
  <si>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</si>
  <si>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</si>
  <si>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</si>
  <si>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</si>
  <si>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</si>
  <si>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</si>
  <si>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</si>
  <si>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</si>
  <si>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</si>
  <si>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</si>
  <si>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</si>
  <si>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</si>
  <si>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</si>
  <si>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</si>
  <si>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</si>
  <si>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</si>
  <si>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</si>
  <si>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</si>
  <si>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</si>
  <si>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</si>
  <si>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</si>
  <si>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</si>
  <si>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</si>
  <si>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</si>
  <si>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</si>
  <si>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</si>
  <si>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</si>
  <si>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</si>
  <si>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</si>
  <si>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</si>
  <si>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</si>
  <si>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</si>
  <si>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</si>
  <si>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</si>
  <si>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</si>
  <si>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</si>
  <si>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</si>
  <si>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</si>
  <si>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</si>
  <si>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</si>
  <si>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</si>
  <si>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</si>
  <si>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</si>
  <si>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</si>
  <si>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</si>
  <si>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</si>
  <si>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</si>
  <si>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</si>
  <si>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</si>
  <si>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</si>
  <si>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</si>
  <si>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</si>
  <si>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</si>
  <si>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</si>
  <si>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</si>
  <si>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</si>
  <si>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</si>
  <si>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</si>
  <si>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</si>
  <si>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</si>
  <si>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</si>
  <si>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</si>
  <si>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</si>
  <si>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</si>
  <si>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</si>
  <si>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</si>
  <si>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</si>
  <si>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</si>
  <si>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</si>
  <si>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</si>
  <si>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</si>
  <si>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</si>
  <si>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</si>
  <si>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</si>
  <si>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</si>
  <si>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</si>
  <si>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</si>
  <si>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</si>
  <si>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</si>
  <si>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</si>
  <si>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</si>
  <si>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</si>
  <si>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</si>
  <si>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</si>
  <si>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</si>
  <si>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</si>
  <si>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</si>
  <si>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</si>
  <si>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</si>
  <si>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</si>
  <si>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</si>
  <si>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</si>
  <si>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</si>
  <si>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</si>
  <si>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</si>
  <si>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</si>
  <si>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</si>
  <si>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</si>
  <si>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</si>
  <si>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</si>
  <si>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</si>
  <si>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</si>
  <si>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</si>
  <si>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</si>
  <si>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</si>
  <si>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</si>
  <si>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</si>
  <si>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</si>
  <si>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</si>
  <si>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</si>
  <si>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</si>
  <si>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</si>
  <si>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</si>
  <si>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</si>
  <si>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</si>
  <si>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</si>
  <si>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</si>
  <si>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</si>
  <si>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</si>
  <si>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</si>
  <si>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</si>
  <si>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</si>
  <si>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</si>
  <si>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</si>
  <si>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</si>
  <si>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</si>
  <si>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</si>
  <si>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</si>
  <si>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</si>
  <si>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</si>
  <si>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</si>
  <si>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</si>
  <si>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</si>
  <si>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</si>
  <si>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</si>
  <si>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</si>
  <si>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</si>
  <si>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</si>
  <si>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</si>
  <si>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</si>
  <si>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</si>
  <si>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</si>
  <si>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</si>
  <si>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</si>
  <si>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</si>
  <si>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</si>
  <si>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</si>
  <si>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</si>
  <si>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</si>
  <si>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</si>
  <si>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</si>
  <si>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</si>
  <si>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</si>
  <si>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</si>
  <si>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</si>
  <si>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</si>
  <si>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</si>
  <si>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</si>
  <si>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</si>
  <si>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</si>
  <si>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</si>
  <si>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</si>
  <si>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</si>
  <si>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</si>
  <si>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</si>
  <si>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</si>
  <si>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</si>
  <si>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</si>
  <si>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</si>
  <si>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</si>
  <si>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</si>
  <si>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</si>
  <si>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</si>
  <si>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</si>
  <si>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</si>
  <si>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</si>
  <si>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</si>
  <si>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</si>
  <si>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</si>
  <si>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</si>
  <si>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</si>
  <si>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</si>
  <si>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</si>
  <si>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</si>
  <si>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</si>
  <si>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</si>
  <si>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</si>
  <si>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</si>
  <si>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</si>
  <si>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</si>
  <si>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</si>
  <si>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</si>
  <si>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</si>
  <si>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</si>
  <si>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</si>
  <si>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</si>
  <si>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</si>
  <si>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</si>
  <si>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</si>
  <si>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</si>
  <si>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</si>
  <si>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</si>
  <si>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</si>
  <si>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</si>
  <si>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</si>
  <si>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</si>
  <si>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</si>
  <si>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</si>
  <si>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</si>
  <si>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</si>
  <si>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</si>
  <si>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</si>
  <si>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</si>
  <si>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</si>
  <si>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</si>
  <si>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</si>
  <si>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</si>
  <si>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</si>
  <si>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</si>
  <si>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</si>
  <si>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</si>
  <si>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</si>
  <si>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</si>
  <si>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</si>
  <si>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</si>
  <si>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</si>
  <si>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</si>
  <si>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</si>
  <si>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</si>
  <si>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</si>
  <si>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</si>
  <si>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</si>
  <si>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</si>
  <si>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</si>
  <si>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</si>
  <si>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</si>
  <si>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</si>
  <si>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</si>
  <si>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</si>
  <si>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</si>
  <si>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</si>
  <si>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</si>
  <si>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</si>
  <si>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</si>
  <si>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</si>
  <si>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</si>
  <si>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</si>
  <si>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</si>
  <si>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</si>
  <si>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</si>
  <si>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</si>
  <si>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</si>
  <si>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</si>
  <si>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</si>
  <si>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</si>
  <si>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</si>
  <si>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</si>
  <si>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</si>
  <si>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</si>
  <si>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</si>
  <si>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</si>
  <si>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</si>
  <si>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</si>
  <si>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</si>
  <si>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</si>
  <si>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</si>
  <si>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</si>
  <si>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</si>
  <si>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</si>
  <si>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</si>
  <si>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</si>
  <si>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</si>
  <si>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</si>
  <si>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</si>
  <si>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</si>
  <si>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</si>
  <si>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</si>
  <si>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</si>
  <si>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</si>
  <si>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</si>
  <si>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</si>
  <si>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</si>
  <si>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</si>
  <si>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</si>
  <si>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</si>
  <si>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</si>
  <si>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</si>
  <si>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</si>
  <si>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</si>
  <si>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</si>
  <si>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</si>
  <si>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</si>
  <si>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</si>
  <si>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</si>
  <si>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</si>
  <si>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</si>
  <si>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</si>
  <si>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</si>
  <si>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</si>
  <si>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</si>
  <si>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</si>
  <si>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</si>
  <si>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</si>
  <si>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</si>
  <si>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</si>
  <si>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</si>
  <si>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</si>
  <si>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</si>
  <si>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</si>
  <si>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</si>
  <si>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</si>
  <si>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</si>
  <si>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</si>
  <si>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</si>
  <si>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</si>
  <si>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</si>
  <si>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</si>
  <si>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</si>
  <si>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</si>
  <si>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</si>
  <si>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</si>
  <si>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</si>
  <si>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</si>
  <si>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</si>
  <si>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</si>
  <si>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</si>
  <si>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</si>
  <si>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</si>
  <si>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</si>
  <si>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</si>
  <si>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</si>
  <si>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</si>
  <si>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</si>
  <si>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</si>
  <si>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</si>
  <si>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</si>
  <si>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</si>
  <si>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</si>
  <si>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</si>
  <si>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</si>
  <si>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</si>
  <si>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</si>
  <si>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</si>
  <si>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</si>
  <si>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</si>
  <si>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</si>
  <si>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</si>
  <si>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</si>
  <si>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</si>
  <si>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</si>
  <si>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</si>
  <si>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</si>
  <si>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</si>
  <si>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</si>
  <si>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</si>
  <si>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</si>
  <si>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</si>
  <si>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</si>
  <si>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</si>
  <si>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</si>
  <si>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</si>
  <si>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</si>
  <si>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</si>
  <si>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</si>
  <si>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</si>
  <si>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</si>
  <si>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</si>
  <si>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</si>
  <si>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</si>
  <si>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</si>
  <si>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</si>
  <si>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</si>
  <si>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</si>
  <si>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</si>
  <si>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</si>
  <si>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</si>
  <si>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</si>
  <si>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</si>
  <si>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</si>
  <si>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</si>
  <si>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</si>
  <si>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</si>
  <si>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</si>
  <si>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</si>
  <si>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</si>
  <si>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</si>
  <si>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</si>
  <si>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</si>
  <si>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</si>
  <si>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</si>
  <si>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</si>
  <si>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</si>
  <si>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</si>
  <si>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</si>
  <si>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</si>
  <si>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</si>
  <si>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</si>
  <si>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</si>
  <si>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</si>
  <si>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</si>
  <si>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</si>
  <si>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</si>
  <si>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</si>
  <si>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</si>
  <si>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</si>
  <si>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</si>
  <si>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</si>
  <si>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</si>
  <si>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</si>
  <si>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</si>
  <si>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</si>
  <si>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</si>
  <si>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</si>
  <si>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</si>
  <si>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</si>
  <si>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</si>
  <si>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</si>
  <si>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</si>
  <si>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</si>
  <si>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</si>
  <si>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</si>
  <si>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</si>
  <si>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</si>
  <si>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</si>
  <si>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</si>
  <si>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</si>
  <si>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</si>
  <si>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</si>
  <si>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</si>
  <si>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</si>
  <si>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</si>
  <si>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</si>
  <si>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</si>
  <si>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</si>
  <si>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</si>
  <si>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</si>
  <si>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</si>
  <si>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</si>
  <si>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</si>
  <si>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</si>
  <si>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</si>
  <si>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</si>
  <si>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</si>
  <si>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</si>
  <si>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</si>
  <si>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</si>
  <si>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</si>
  <si>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</si>
  <si>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</si>
  <si>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</si>
  <si>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</si>
  <si>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</si>
  <si>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</si>
  <si>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</si>
  <si>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</si>
  <si>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</si>
  <si>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</si>
  <si>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</si>
  <si>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</si>
  <si>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</si>
  <si>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</si>
  <si>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</si>
  <si>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</si>
  <si>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</si>
  <si>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</si>
  <si>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</si>
  <si>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</si>
  <si>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</si>
  <si>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</si>
  <si>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</si>
  <si>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</si>
  <si>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</si>
  <si>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</si>
  <si>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</si>
  <si>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</si>
  <si>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</si>
  <si>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</si>
  <si>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</si>
  <si>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</si>
  <si>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</si>
  <si>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</si>
  <si>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</si>
  <si>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</si>
  <si>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</si>
  <si>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</si>
  <si>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</si>
  <si>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</si>
  <si>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</si>
  <si>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</si>
  <si>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</si>
  <si>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</si>
  <si>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</si>
  <si>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</si>
  <si>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</si>
  <si>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</si>
  <si>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</si>
  <si>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</si>
  <si>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</si>
  <si>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</si>
  <si>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</si>
  <si>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</si>
  <si>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</si>
  <si>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</si>
  <si>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</si>
  <si>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</si>
  <si>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</si>
  <si>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</si>
  <si>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</si>
  <si>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</si>
  <si>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</si>
  <si>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</si>
  <si>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</si>
  <si>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</si>
  <si>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</si>
  <si>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</si>
  <si>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</si>
  <si>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</si>
  <si>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</si>
  <si>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</si>
  <si>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</si>
  <si>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</si>
  <si>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</si>
  <si>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</si>
  <si>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</si>
  <si>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</si>
  <si>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</si>
  <si>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</si>
  <si>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</si>
  <si>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</si>
  <si>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</si>
  <si>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</si>
  <si>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</si>
  <si>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</si>
  <si>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</si>
  <si>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</si>
  <si>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</si>
  <si>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</si>
  <si>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</si>
  <si>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</si>
  <si>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</si>
  <si>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</si>
  <si>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</si>
  <si>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</si>
  <si>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</si>
  <si>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</si>
  <si>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</si>
  <si>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</si>
  <si>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</si>
  <si>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</si>
  <si>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</si>
  <si>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</si>
  <si>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</si>
  <si>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</si>
  <si>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</si>
  <si>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</si>
  <si>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</si>
  <si>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</si>
  <si>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</si>
  <si>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</si>
  <si>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</si>
  <si>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</si>
  <si>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</si>
  <si>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</si>
  <si>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</si>
  <si>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</si>
  <si>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</si>
  <si>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</si>
  <si>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</si>
  <si>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</si>
  <si>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</si>
  <si>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</si>
  <si>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</si>
  <si>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</si>
  <si>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</si>
  <si>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</si>
  <si>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</si>
  <si>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</si>
  <si>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</si>
  <si>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</si>
  <si>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</si>
  <si>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</si>
  <si>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</si>
  <si>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</si>
  <si>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</si>
  <si>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</si>
  <si>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</si>
  <si>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</si>
  <si>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</si>
  <si>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</si>
  <si>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</si>
  <si>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</si>
  <si>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</si>
  <si>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</si>
  <si>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</si>
  <si>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</si>
  <si>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</si>
  <si>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</si>
  <si>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</si>
  <si>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</si>
  <si>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</si>
  <si>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</si>
  <si>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</si>
  <si>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</si>
  <si>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</si>
  <si>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</si>
  <si>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</si>
  <si>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</si>
  <si>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</si>
  <si>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</si>
  <si>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</si>
  <si>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</si>
  <si>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</si>
  <si>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</si>
  <si>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</si>
  <si>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</si>
  <si>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</si>
  <si>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</si>
  <si>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</si>
  <si>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</si>
  <si>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</si>
  <si>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</si>
  <si>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</si>
  <si>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</si>
  <si>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</si>
  <si>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</si>
  <si>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</si>
  <si>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</si>
  <si>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</si>
  <si>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</si>
  <si>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</si>
  <si>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</si>
  <si>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</si>
  <si>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</si>
  <si>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</si>
  <si>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</si>
  <si>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</si>
  <si>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</si>
  <si>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</si>
  <si>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</si>
  <si>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</si>
  <si>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</si>
  <si>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</si>
  <si>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</si>
  <si>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</si>
  <si>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</si>
  <si>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</si>
  <si>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</si>
  <si>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</si>
  <si>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</si>
  <si>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</si>
  <si>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</si>
  <si>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</si>
  <si>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</si>
  <si>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</si>
  <si>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</si>
  <si>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</si>
  <si>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</si>
  <si>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</si>
  <si>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</si>
  <si>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</si>
  <si>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</si>
  <si>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</si>
  <si>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</si>
  <si>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</si>
  <si>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</si>
  <si>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</si>
  <si>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</si>
  <si>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</si>
  <si>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</si>
  <si>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</si>
  <si>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</si>
  <si>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</si>
  <si>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</si>
  <si>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</si>
  <si>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</si>
  <si>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</si>
  <si>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</si>
  <si>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</si>
  <si>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</si>
  <si>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</si>
  <si>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</si>
  <si>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</si>
  <si>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</si>
  <si>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</si>
  <si>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</si>
  <si>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</si>
  <si>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</si>
  <si>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</si>
  <si>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</si>
  <si>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</si>
  <si>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</si>
  <si>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</si>
  <si>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</si>
  <si>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</si>
  <si>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</si>
  <si>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</si>
  <si>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</si>
  <si>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</si>
  <si>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</si>
  <si>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</si>
  <si>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</si>
  <si>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</si>
  <si>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</si>
  <si>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</si>
  <si>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</si>
  <si>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</si>
  <si>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</si>
  <si>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</si>
  <si>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</si>
  <si>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</si>
  <si>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</si>
  <si>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</si>
  <si>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</si>
  <si>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</si>
  <si>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</si>
  <si>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</si>
  <si>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</si>
  <si>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</si>
  <si>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</si>
  <si>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</si>
  <si>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</si>
  <si>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</si>
  <si>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</si>
  <si>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</si>
  <si>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</si>
  <si>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</si>
  <si>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</si>
  <si>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</si>
  <si>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</si>
  <si>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</si>
  <si>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</si>
  <si>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</si>
  <si>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</si>
  <si>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</si>
  <si>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</si>
  <si>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</si>
  <si>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</si>
  <si>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</si>
  <si>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</si>
  <si>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</si>
  <si>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</si>
  <si>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</si>
  <si>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</si>
  <si>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</si>
  <si>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</si>
  <si>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</si>
  <si>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</si>
  <si>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</si>
  <si>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</si>
  <si>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</si>
  <si>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</si>
  <si>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</si>
  <si>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</si>
  <si>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</si>
  <si>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</si>
  <si>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</si>
  <si>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</si>
  <si>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</si>
  <si>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</si>
  <si>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</si>
  <si>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</si>
  <si>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</si>
  <si>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</si>
  <si>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</si>
  <si>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</si>
  <si>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</si>
  <si>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</si>
  <si>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</si>
  <si>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</si>
  <si>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</si>
  <si>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</si>
  <si>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</si>
  <si>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</si>
  <si>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</si>
  <si>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</si>
  <si>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</si>
  <si>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</si>
  <si>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</si>
  <si>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</si>
  <si>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</si>
  <si>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</si>
  <si>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</si>
  <si>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</si>
  <si>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</si>
  <si>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</si>
  <si>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</si>
  <si>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</si>
  <si>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</si>
  <si>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</si>
  <si>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</si>
  <si>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</si>
  <si>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</si>
  <si>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</si>
  <si>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</si>
  <si>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</si>
  <si>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</si>
  <si>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</si>
  <si>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</si>
  <si>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</si>
  <si>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</si>
  <si>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</si>
  <si>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</si>
  <si>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</si>
  <si>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</si>
  <si>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</si>
  <si>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</si>
  <si>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</si>
  <si>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</si>
  <si>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</si>
  <si>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</si>
  <si>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</si>
  <si>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</si>
  <si>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</si>
  <si>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</si>
  <si>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</si>
  <si>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</si>
  <si>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</si>
  <si>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</si>
  <si>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</si>
  <si>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</si>
  <si>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</si>
  <si>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</si>
  <si>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</si>
  <si>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</si>
  <si>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</si>
  <si>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</si>
  <si>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</si>
  <si>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</si>
  <si>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</si>
  <si>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</si>
  <si>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</si>
  <si>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</si>
  <si>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</si>
  <si>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</si>
  <si>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</si>
  <si>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</si>
  <si>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</si>
  <si>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</si>
  <si>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</si>
  <si>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</si>
  <si>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</si>
  <si>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</si>
  <si>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</si>
  <si>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</si>
  <si>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</si>
  <si>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</si>
  <si>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</si>
  <si>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</si>
  <si>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</si>
  <si>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</si>
  <si>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</si>
  <si>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</si>
  <si>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</si>
  <si>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</si>
  <si>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</si>
  <si>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</si>
  <si>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</si>
  <si>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</si>
  <si>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</si>
  <si>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</si>
  <si>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</si>
  <si>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</si>
  <si>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</si>
  <si>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</si>
  <si>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</si>
  <si>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</si>
  <si>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</si>
  <si>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</si>
  <si>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</si>
  <si>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</si>
  <si>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</si>
  <si>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</si>
  <si>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</si>
  <si>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</si>
  <si>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</si>
  <si>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</si>
  <si>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</si>
  <si>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</si>
  <si>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</si>
  <si>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</si>
  <si>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</si>
  <si>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</si>
  <si>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</si>
  <si>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</si>
  <si>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</si>
  <si>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</si>
  <si>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</si>
  <si>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</si>
  <si>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</si>
  <si>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</si>
  <si>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</si>
  <si>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</si>
  <si>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</si>
  <si>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</si>
  <si>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</si>
  <si>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</si>
  <si>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</si>
  <si>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</si>
  <si>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</si>
  <si>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</si>
  <si>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</si>
  <si>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</si>
  <si>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</si>
  <si>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</si>
  <si>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</si>
  <si>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</si>
  <si>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</si>
  <si>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</si>
  <si>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</si>
  <si>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</si>
  <si>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</si>
  <si>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</si>
  <si>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</si>
  <si>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</si>
  <si>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</si>
  <si>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</si>
  <si>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</si>
  <si>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</si>
  <si>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</si>
  <si>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</si>
  <si>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</si>
  <si>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</si>
  <si>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</si>
  <si>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</si>
  <si>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</si>
  <si>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</si>
  <si>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</si>
  <si>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</si>
  <si>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</si>
  <si>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</si>
  <si>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</si>
  <si>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</si>
  <si>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</si>
  <si>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</si>
  <si>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</si>
  <si>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</si>
  <si>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</si>
  <si>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</si>
  <si>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</si>
  <si>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</si>
  <si>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</si>
  <si>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</si>
  <si>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</si>
  <si>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</si>
  <si>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</si>
  <si>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</si>
  <si>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</si>
  <si>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</si>
  <si>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</si>
  <si>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</si>
  <si>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</si>
  <si>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</si>
  <si>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</si>
  <si>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</si>
  <si>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</si>
  <si>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</si>
  <si>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</si>
  <si>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</si>
  <si>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</si>
  <si>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</si>
  <si>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</si>
  <si>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</si>
  <si>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</si>
  <si>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</si>
  <si>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</si>
  <si>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</si>
  <si>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</si>
  <si>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</si>
  <si>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</si>
  <si>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</si>
  <si>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</si>
  <si>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</si>
  <si>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</si>
  <si>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</si>
  <si>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</si>
  <si>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</si>
  <si>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</si>
  <si>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</si>
  <si>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</si>
  <si>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</si>
  <si>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</si>
  <si>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</si>
  <si>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</si>
  <si>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</si>
  <si>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</si>
  <si>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</si>
  <si>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</si>
  <si>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</si>
  <si>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</si>
  <si>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</si>
  <si>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</si>
  <si>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</si>
  <si>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</si>
  <si>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</si>
  <si>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</si>
  <si>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</si>
  <si>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</si>
  <si>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</si>
  <si>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</si>
  <si>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</si>
  <si>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</si>
  <si>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</si>
  <si>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</si>
  <si>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</si>
  <si>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</si>
  <si>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</si>
  <si>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</si>
  <si>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</si>
  <si>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</si>
  <si>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</si>
  <si>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</si>
  <si>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</si>
  <si>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</si>
  <si>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</si>
  <si>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</si>
  <si>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</si>
  <si>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</si>
  <si>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</si>
  <si>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</si>
  <si>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</si>
  <si>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</si>
  <si>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</si>
  <si>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</si>
  <si>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</si>
  <si>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</si>
  <si>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</si>
  <si>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</si>
  <si>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</si>
  <si>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</si>
  <si>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</si>
  <si>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</si>
  <si>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</si>
  <si>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</si>
  <si>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</si>
  <si>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</si>
  <si>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</si>
  <si>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</si>
  <si>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</si>
  <si>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</si>
  <si>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</si>
  <si>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</si>
  <si>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</si>
  <si>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</si>
  <si>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</si>
  <si>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</si>
  <si>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</si>
  <si>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</si>
  <si>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</si>
  <si>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</si>
  <si>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</si>
  <si>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</si>
  <si>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</si>
  <si>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</si>
  <si>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</si>
  <si>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</si>
  <si>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</si>
  <si>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</si>
  <si>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</si>
  <si>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</si>
  <si>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</si>
  <si>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</si>
  <si>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</si>
  <si>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</si>
  <si>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</si>
  <si>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</si>
  <si>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</si>
  <si>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</si>
  <si>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</si>
  <si>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</si>
  <si>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</si>
  <si>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</si>
  <si>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</si>
  <si>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</si>
  <si>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</si>
  <si>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</si>
  <si>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</si>
  <si>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</si>
  <si>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</si>
  <si>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</si>
  <si>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</si>
  <si>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</si>
  <si>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</si>
  <si>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</si>
  <si>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</si>
  <si>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</si>
  <si>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</si>
  <si>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</si>
  <si>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</si>
  <si>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</si>
  <si>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</si>
  <si>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</si>
  <si>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</si>
  <si>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</si>
  <si>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</si>
  <si>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</si>
  <si>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</si>
  <si>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</si>
  <si>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</si>
  <si>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</si>
  <si>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</si>
  <si>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</si>
  <si>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</si>
  <si>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</si>
  <si>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</si>
  <si>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</si>
  <si>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</si>
  <si>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</si>
  <si>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</si>
  <si>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</si>
  <si>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</si>
  <si>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</si>
  <si>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</si>
  <si>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</si>
  <si>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</si>
  <si>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</si>
  <si>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</si>
  <si>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</si>
  <si>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</si>
  <si>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</si>
  <si>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</si>
  <si>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</si>
  <si>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</si>
  <si>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</si>
  <si>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</si>
  <si>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</si>
  <si>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</si>
  <si>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</si>
  <si>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</si>
  <si>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</si>
  <si>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</si>
  <si>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</si>
  <si>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</si>
  <si>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</si>
  <si>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</si>
  <si>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</si>
  <si>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</si>
  <si>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</si>
  <si>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</si>
  <si>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</si>
  <si>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</si>
  <si>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</si>
  <si>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</si>
  <si>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</si>
  <si>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</si>
  <si>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</si>
  <si>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</si>
  <si>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</si>
  <si>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</si>
  <si>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</si>
  <si>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</si>
  <si>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</si>
  <si>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</si>
  <si>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</si>
  <si>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</si>
  <si>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</si>
  <si>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</si>
  <si>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</si>
  <si>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</si>
  <si>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</si>
  <si>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</si>
  <si>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</si>
  <si>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</si>
  <si>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</si>
  <si>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</si>
  <si>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</si>
  <si>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</si>
  <si>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</si>
  <si>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</si>
  <si>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</si>
  <si>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</si>
  <si>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</si>
  <si>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</si>
  <si>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</si>
  <si>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</si>
  <si>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</si>
  <si>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</si>
  <si>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</si>
  <si>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</si>
  <si>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</si>
  <si>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</si>
  <si>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</si>
  <si>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</si>
  <si>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</si>
  <si>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</si>
  <si>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</si>
  <si>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</si>
  <si>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</si>
  <si>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</si>
  <si>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</si>
  <si>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</si>
  <si>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</si>
  <si>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</si>
  <si>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</si>
  <si>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</si>
  <si>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</si>
  <si>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</si>
  <si>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</si>
  <si>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</si>
  <si>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</si>
  <si>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</si>
  <si>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</si>
  <si>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</si>
  <si>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</si>
  <si>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</si>
  <si>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</si>
  <si>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</si>
  <si>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</si>
  <si>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</si>
  <si>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</si>
  <si>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</si>
  <si>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</si>
  <si>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</si>
  <si>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</si>
  <si>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</si>
  <si>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</si>
  <si>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</si>
  <si>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</si>
  <si>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</si>
  <si>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</si>
  <si>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</si>
  <si>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</si>
  <si>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</si>
  <si>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</si>
  <si>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</si>
  <si>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</si>
  <si>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</si>
  <si>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</si>
  <si>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</si>
  <si>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</si>
  <si>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</si>
  <si>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</si>
  <si>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</si>
  <si>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</si>
  <si>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</si>
  <si>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</si>
  <si>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</si>
  <si>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</si>
  <si>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</si>
  <si>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</si>
  <si>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</si>
  <si>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</si>
  <si>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</si>
  <si>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</si>
  <si>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</si>
  <si>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</si>
  <si>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</si>
  <si>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</si>
  <si>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</si>
  <si>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</si>
  <si>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</si>
  <si>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</si>
  <si>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</si>
  <si>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</si>
  <si>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</si>
  <si>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</si>
  <si>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</si>
  <si>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</si>
  <si>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</si>
  <si>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</si>
  <si>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</si>
  <si>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</si>
  <si>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</si>
  <si>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</si>
  <si>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</si>
  <si>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</si>
  <si>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</si>
  <si>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</si>
  <si>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</si>
  <si>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</si>
  <si>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</si>
  <si>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</si>
  <si>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</si>
  <si>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</si>
  <si>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</si>
  <si>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</si>
  <si>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</si>
  <si>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</si>
  <si>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</si>
  <si>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</si>
  <si>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</si>
  <si>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</si>
  <si>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</si>
  <si>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</si>
  <si>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</si>
  <si>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</si>
  <si>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</si>
  <si>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</si>
  <si>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</si>
  <si>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</si>
  <si>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</si>
  <si>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</si>
  <si>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</si>
  <si>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</si>
  <si>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</si>
  <si>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</si>
  <si>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</si>
  <si>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</si>
  <si>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</si>
  <si>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</si>
  <si>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</si>
  <si>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</si>
  <si>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</si>
  <si>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</si>
  <si>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</si>
  <si>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</si>
  <si>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</si>
  <si>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</si>
  <si>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</si>
  <si>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</si>
  <si>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</si>
  <si>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</si>
  <si>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</si>
  <si>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</si>
  <si>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</si>
  <si>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</si>
  <si>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</si>
  <si>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</si>
  <si>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</si>
  <si>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</si>
  <si>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</si>
  <si>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</si>
  <si>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</si>
  <si>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</si>
  <si>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</si>
  <si>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</si>
  <si>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</si>
  <si>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</si>
  <si>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</si>
  <si>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</si>
  <si>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</si>
  <si>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</si>
  <si>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</si>
  <si>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</si>
  <si>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</si>
  <si>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</si>
  <si>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</si>
  <si>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</si>
  <si>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</si>
  <si>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</si>
  <si>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</si>
  <si>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</si>
  <si>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</si>
  <si>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</si>
  <si>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</si>
  <si>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</si>
  <si>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</si>
  <si>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</si>
  <si>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</si>
  <si>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</si>
  <si>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</si>
  <si>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</si>
  <si>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</si>
  <si>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</si>
  <si>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</si>
  <si>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</si>
  <si>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</si>
  <si>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</si>
  <si>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</si>
  <si>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</si>
  <si>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</si>
  <si>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</si>
  <si>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</si>
  <si>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</si>
  <si>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</si>
  <si>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</si>
  <si>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</si>
  <si>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</si>
  <si>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</si>
  <si>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</si>
  <si>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</si>
  <si>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</si>
  <si>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</si>
  <si>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</si>
  <si>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</si>
  <si>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</si>
  <si>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</si>
  <si>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</si>
  <si>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</si>
  <si>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</si>
  <si>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</si>
  <si>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</si>
  <si>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</si>
  <si>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</si>
  <si>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</si>
  <si>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</si>
  <si>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</si>
  <si>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</si>
  <si>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</si>
  <si>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</si>
  <si>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</si>
  <si>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</si>
  <si>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</si>
  <si>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</si>
  <si>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</si>
  <si>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</si>
  <si>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</si>
  <si>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</si>
  <si>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</si>
  <si>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</si>
  <si>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</si>
  <si>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</si>
  <si>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</si>
  <si>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</si>
  <si>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</si>
  <si>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</si>
  <si>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</si>
  <si>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</si>
  <si>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</si>
  <si>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</si>
  <si>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</si>
  <si>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</si>
  <si>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</si>
  <si>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</si>
  <si>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</si>
  <si>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</si>
  <si>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</si>
  <si>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</si>
  <si>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</si>
  <si>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</si>
  <si>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</si>
  <si>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</si>
  <si>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</si>
  <si>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</si>
  <si>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</si>
  <si>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</si>
  <si>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</si>
  <si>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</si>
  <si>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</si>
  <si>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</si>
  <si>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</si>
  <si>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</si>
  <si>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</si>
  <si>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</si>
  <si>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</si>
  <si>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</si>
  <si>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</si>
  <si>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</si>
  <si>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</si>
  <si>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</si>
  <si>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</si>
  <si>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</si>
  <si>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</si>
  <si>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</si>
  <si>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</si>
  <si>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</si>
  <si>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</si>
  <si>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</si>
  <si>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</si>
  <si>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</si>
  <si>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</si>
  <si>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</si>
  <si>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</si>
  <si>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</si>
  <si>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</si>
  <si>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</si>
  <si>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</si>
  <si>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</si>
  <si>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</si>
  <si>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</si>
  <si>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</si>
  <si>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</si>
  <si>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</si>
  <si>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</si>
  <si>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</si>
  <si>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</si>
  <si>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</si>
  <si>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</si>
  <si>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</si>
  <si>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</si>
  <si>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</si>
  <si>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</si>
  <si>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</si>
  <si>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</si>
  <si>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</si>
  <si>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</si>
  <si>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</si>
  <si>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</si>
  <si>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</si>
  <si>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</si>
  <si>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</si>
  <si>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</si>
  <si>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</si>
  <si>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</si>
  <si>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</si>
  <si>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</si>
  <si>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</si>
  <si>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</si>
  <si>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</si>
  <si>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</si>
  <si>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</si>
  <si>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</si>
  <si>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</si>
  <si>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</si>
  <si>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</si>
  <si>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</si>
  <si>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</si>
  <si>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</si>
  <si>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</si>
  <si>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</si>
  <si>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</si>
  <si>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</si>
  <si>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</si>
  <si>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</si>
  <si>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</si>
  <si>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</si>
  <si>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</si>
  <si>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</si>
  <si>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</si>
  <si>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</si>
  <si>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</si>
  <si>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</si>
  <si>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</si>
  <si>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</si>
  <si>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</si>
  <si>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</si>
  <si>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</si>
  <si>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</si>
  <si>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</si>
  <si>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</si>
  <si>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</si>
  <si>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</si>
  <si>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</si>
  <si>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</si>
  <si>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</si>
  <si>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</si>
  <si>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</si>
  <si>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</si>
  <si>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</si>
  <si>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</si>
  <si>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</si>
  <si>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</si>
  <si>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</si>
  <si>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</si>
  <si>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</si>
  <si>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</si>
  <si>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</si>
  <si>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</si>
  <si>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</si>
  <si>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</si>
  <si>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</si>
  <si>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</si>
  <si>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</si>
  <si>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</si>
  <si>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</si>
  <si>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</si>
  <si>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</si>
  <si>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</si>
  <si>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</si>
  <si>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</si>
  <si>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</si>
  <si>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</si>
  <si>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</si>
  <si>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</si>
  <si>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</si>
  <si>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</si>
  <si>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</si>
  <si>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</si>
  <si>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</si>
  <si>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</si>
  <si>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</si>
  <si>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</si>
  <si>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</si>
  <si>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</si>
  <si>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</si>
  <si>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</si>
  <si>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</si>
  <si>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</si>
  <si>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</si>
  <si>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</si>
  <si>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</si>
  <si>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</si>
  <si>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</si>
  <si>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</si>
  <si>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</si>
  <si>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</si>
  <si>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</si>
  <si>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</si>
  <si>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</si>
  <si>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</si>
  <si>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</si>
  <si>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</si>
  <si>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</si>
  <si>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</si>
  <si>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</si>
  <si>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</si>
  <si>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</si>
  <si>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</si>
  <si>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</si>
  <si>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</si>
  <si>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</si>
  <si>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</si>
  <si>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</si>
  <si>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</si>
  <si>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</si>
  <si>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</si>
  <si>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</si>
  <si>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</si>
  <si>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</si>
  <si>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</si>
  <si>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</si>
  <si>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</si>
  <si>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</si>
  <si>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</si>
  <si>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</si>
  <si>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</si>
  <si>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</si>
  <si>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</si>
  <si>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</si>
  <si>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</si>
  <si>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</si>
  <si>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</si>
  <si>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</si>
  <si>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</si>
  <si>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</si>
  <si>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</si>
  <si>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</si>
  <si>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</si>
  <si>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</si>
  <si>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</si>
  <si>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</si>
  <si>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</si>
  <si>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</si>
  <si>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</si>
  <si>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</si>
  <si>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</si>
  <si>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</si>
  <si>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</si>
  <si>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</si>
  <si>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</si>
  <si>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</si>
  <si>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</si>
  <si>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</si>
  <si>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</si>
  <si>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</si>
  <si>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</si>
  <si>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</si>
  <si>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</si>
  <si>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</si>
  <si>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</si>
  <si>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</si>
  <si>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</si>
  <si>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</si>
  <si>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</si>
  <si>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</si>
  <si>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</si>
  <si>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</si>
  <si>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</si>
  <si>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</si>
  <si>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</si>
  <si>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</si>
  <si>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</si>
  <si>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</si>
  <si>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</si>
  <si>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</si>
  <si>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</si>
  <si>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</si>
  <si>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</si>
  <si>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</si>
  <si>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</si>
  <si>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</si>
  <si>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</si>
  <si>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</si>
  <si>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</si>
  <si>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</si>
  <si>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</si>
  <si>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</si>
  <si>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</si>
  <si>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</si>
  <si>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</si>
  <si>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</si>
  <si>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</si>
  <si>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</si>
  <si>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</si>
  <si>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</si>
  <si>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</si>
  <si>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</si>
  <si>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</si>
  <si>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</si>
  <si>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</si>
  <si>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</si>
  <si>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</si>
  <si>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</si>
  <si>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</si>
  <si>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</si>
  <si>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</si>
  <si>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</si>
  <si>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</si>
  <si>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</si>
  <si>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</si>
  <si>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</si>
  <si>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</si>
  <si>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</si>
  <si>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</si>
  <si>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</si>
  <si>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</si>
  <si>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</si>
  <si>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</si>
  <si>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</si>
  <si>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</si>
  <si>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</si>
  <si>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</si>
  <si>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</si>
  <si>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</si>
  <si>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</si>
  <si>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</si>
  <si>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</si>
  <si>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</si>
  <si>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</si>
  <si>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</si>
  <si>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</si>
  <si>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</si>
  <si>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</si>
  <si>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</si>
  <si>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</si>
  <si>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</si>
  <si>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</si>
  <si>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</si>
  <si>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</si>
  <si>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</si>
  <si>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</si>
  <si>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</si>
  <si>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</si>
  <si>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</si>
  <si>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</si>
  <si>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</si>
  <si>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</si>
  <si>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</si>
  <si>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</si>
  <si>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</si>
  <si>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</si>
  <si>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</si>
  <si>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</si>
  <si>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</si>
  <si>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</si>
  <si>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</si>
  <si>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</si>
  <si>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</si>
  <si>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</si>
  <si>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</si>
  <si>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</si>
  <si>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</si>
  <si>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</si>
  <si>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</si>
  <si>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</si>
  <si>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</si>
  <si>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</si>
  <si>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</si>
  <si>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</si>
  <si>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</si>
  <si>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</si>
  <si>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</si>
  <si>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</si>
  <si>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</si>
  <si>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</si>
  <si>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</si>
  <si>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</si>
  <si>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</si>
  <si>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</si>
  <si>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</si>
  <si>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</si>
  <si>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</si>
  <si>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</si>
  <si>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</si>
  <si>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</si>
  <si>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</si>
  <si>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</si>
  <si>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</si>
  <si>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</si>
  <si>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</si>
  <si>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</si>
  <si>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</si>
  <si>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</si>
  <si>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</si>
  <si>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</si>
  <si>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</si>
  <si>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</si>
  <si>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</si>
  <si>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</si>
  <si>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</si>
  <si>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</si>
  <si>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</si>
  <si>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</si>
  <si>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</si>
  <si>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</si>
  <si>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</si>
  <si>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</si>
  <si>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</si>
  <si>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</si>
  <si>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</si>
  <si>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</si>
  <si>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</si>
  <si>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</si>
  <si>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</si>
  <si>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</si>
  <si>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</si>
  <si>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</si>
  <si>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</si>
  <si>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</si>
  <si>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</si>
  <si>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</si>
  <si>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</si>
  <si>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</si>
  <si>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</si>
  <si>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</si>
  <si>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</si>
  <si>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</si>
  <si>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</si>
  <si>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</si>
  <si>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</si>
  <si>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</si>
  <si>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</si>
  <si>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</si>
  <si>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</si>
  <si>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</si>
  <si>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</si>
  <si>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</si>
  <si>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</si>
  <si>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</si>
  <si>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</si>
  <si>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</si>
  <si>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</si>
  <si>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</si>
  <si>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</si>
  <si>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</si>
  <si>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</si>
  <si>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</si>
  <si>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</si>
  <si>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</si>
  <si>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</si>
  <si>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</si>
  <si>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</si>
  <si>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</si>
  <si>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</si>
  <si>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</si>
  <si>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</si>
  <si>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</si>
  <si>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</si>
  <si>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</si>
  <si>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</si>
  <si>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</si>
  <si>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</si>
  <si>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</si>
  <si>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</si>
  <si>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</si>
  <si>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</si>
  <si>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</si>
  <si>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</si>
  <si>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</si>
  <si>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</si>
  <si>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</si>
  <si>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</si>
  <si>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</si>
  <si>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</si>
  <si>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</si>
  <si>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</si>
  <si>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</si>
  <si>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</si>
  <si>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</si>
  <si>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</si>
  <si>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</si>
  <si>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</si>
  <si>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</si>
  <si>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</si>
  <si>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</si>
  <si>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</si>
  <si>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</si>
  <si>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</si>
  <si>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</si>
  <si>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</si>
  <si>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</si>
  <si>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</si>
  <si>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</si>
  <si>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</si>
  <si>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</si>
  <si>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</si>
  <si>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</si>
  <si>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</si>
  <si>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</si>
  <si>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</si>
  <si>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</si>
  <si>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</si>
  <si>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</si>
  <si>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</si>
  <si>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</si>
  <si>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</si>
  <si>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</si>
  <si>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</si>
  <si>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</si>
  <si>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</si>
  <si>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</si>
  <si>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</si>
  <si>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</si>
  <si>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</si>
  <si>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</si>
  <si>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</si>
  <si>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</si>
  <si>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</si>
  <si>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</si>
  <si>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</si>
  <si>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</si>
  <si>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</si>
  <si>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</si>
  <si>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</si>
  <si>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</si>
  <si>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</si>
  <si>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</si>
  <si>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</si>
  <si>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</si>
  <si>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</si>
  <si>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</si>
  <si>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</si>
  <si>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</si>
  <si>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</si>
  <si>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</si>
  <si>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</si>
  <si>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</si>
  <si>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</si>
  <si>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</si>
  <si>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</si>
  <si>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</si>
  <si>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</si>
  <si>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</si>
  <si>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</si>
  <si>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</si>
  <si>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</si>
  <si>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</si>
  <si>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</si>
  <si>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</si>
  <si>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</si>
  <si>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</si>
  <si>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</si>
  <si>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</si>
  <si>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</si>
  <si>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</si>
  <si>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</si>
  <si>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</si>
  <si>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</si>
  <si>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</si>
  <si>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</si>
  <si>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</si>
  <si>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</si>
  <si>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</si>
  <si>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</si>
  <si>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</si>
  <si>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</si>
  <si>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</si>
  <si>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</si>
  <si>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</si>
  <si>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</si>
  <si>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</si>
  <si>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</si>
  <si>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</si>
  <si>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</si>
  <si>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</si>
  <si>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</si>
  <si>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</si>
  <si>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</si>
  <si>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</si>
  <si>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</si>
  <si>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</si>
  <si>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</si>
  <si>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</si>
  <si>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</si>
  <si>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</si>
  <si>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</si>
  <si>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</si>
  <si>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</si>
  <si>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</si>
  <si>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</si>
  <si>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</si>
  <si>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</si>
  <si>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</si>
  <si>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</si>
  <si>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</si>
  <si>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</si>
  <si>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</si>
  <si>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</si>
  <si>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</si>
  <si>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</si>
  <si>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</si>
  <si>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</si>
  <si>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</si>
  <si>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</si>
  <si>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</si>
  <si>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</si>
  <si>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</si>
  <si>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</si>
  <si>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</si>
  <si>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</si>
  <si>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</si>
  <si>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</si>
  <si>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</si>
  <si>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</si>
  <si>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</si>
  <si>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</si>
  <si>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</si>
  <si>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</si>
  <si>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</si>
  <si>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</si>
  <si>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</si>
  <si>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</si>
  <si>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</si>
  <si>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</si>
  <si>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</si>
  <si>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</si>
  <si>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</si>
  <si>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</si>
  <si>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</si>
  <si>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</si>
  <si>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</si>
  <si>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</si>
  <si>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</si>
  <si>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</si>
  <si>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</si>
  <si>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</si>
  <si>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</si>
  <si>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</si>
  <si>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</si>
  <si>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</si>
  <si>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</si>
  <si>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</si>
  <si>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</si>
  <si>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</si>
  <si>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</si>
  <si>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</si>
  <si>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</si>
  <si>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</si>
  <si>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</si>
  <si>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</si>
  <si>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</si>
  <si>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</si>
  <si>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</si>
  <si>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</si>
  <si>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</si>
  <si>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</si>
  <si>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</si>
  <si>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</si>
  <si>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</si>
  <si>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</si>
  <si>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</si>
  <si>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</si>
  <si>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</si>
  <si>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</si>
  <si>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</si>
  <si>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</si>
  <si>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</si>
  <si>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</si>
  <si>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</si>
  <si>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</si>
  <si>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</si>
  <si>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</si>
  <si>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</si>
  <si>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</si>
  <si>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</si>
  <si>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</si>
  <si>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</si>
  <si>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</si>
  <si>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</si>
  <si>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</si>
  <si>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</si>
  <si>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</si>
  <si>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</si>
  <si>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</si>
  <si>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</si>
  <si>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</si>
  <si>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</si>
  <si>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</si>
  <si>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</si>
  <si>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</si>
  <si>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</si>
  <si>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</si>
  <si>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</si>
  <si>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</si>
  <si>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</si>
  <si>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</si>
  <si>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</si>
  <si>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</si>
  <si>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</si>
  <si>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</si>
  <si>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</si>
  <si>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</si>
  <si>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</si>
  <si>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</si>
  <si>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</si>
  <si>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</si>
  <si>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</si>
  <si>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</si>
  <si>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</si>
  <si>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</si>
  <si>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</si>
  <si>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</si>
  <si>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</si>
  <si>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</si>
  <si>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</si>
  <si>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</si>
  <si>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</si>
  <si>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</si>
  <si>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</si>
  <si>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</si>
  <si>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</si>
  <si>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</si>
  <si>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</si>
  <si>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</si>
  <si>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</si>
  <si>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</si>
  <si>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</si>
  <si>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</si>
  <si>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</si>
  <si>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</si>
  <si>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</si>
  <si>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</si>
  <si>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</si>
  <si>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</si>
  <si>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</si>
  <si>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</si>
  <si>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</si>
  <si>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</si>
  <si>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</si>
  <si>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</si>
  <si>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</si>
  <si>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</si>
  <si>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</si>
  <si>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</si>
  <si>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</si>
  <si>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</si>
  <si>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</si>
  <si>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</si>
  <si>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</si>
  <si>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</si>
  <si>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</si>
  <si>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</si>
  <si>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</si>
  <si>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</si>
  <si>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</si>
  <si>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</si>
  <si>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</si>
  <si>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</si>
  <si>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</si>
  <si>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</si>
  <si>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</si>
  <si>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</si>
  <si>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</si>
  <si>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</si>
  <si>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</si>
  <si>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</si>
  <si>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</si>
  <si>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</si>
  <si>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</si>
  <si>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</si>
  <si>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</si>
  <si>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</si>
  <si>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</si>
  <si>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</si>
  <si>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</si>
  <si>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</si>
  <si>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</si>
  <si>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</si>
  <si>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</si>
  <si>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</si>
  <si>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</si>
  <si>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</si>
  <si>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</si>
  <si>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</si>
  <si>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</si>
  <si>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</si>
  <si>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</si>
  <si>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</si>
  <si>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</si>
  <si>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</si>
  <si>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</si>
  <si>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</si>
  <si>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</si>
  <si>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</si>
  <si>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</si>
  <si>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</si>
  <si>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</si>
  <si>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</si>
  <si>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</si>
  <si>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</si>
  <si>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</si>
  <si>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</si>
  <si>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</si>
  <si>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</si>
  <si>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</si>
  <si>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</si>
  <si>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</si>
  <si>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</si>
  <si>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</si>
  <si>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</si>
  <si>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</si>
  <si>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</si>
  <si>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</si>
  <si>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</si>
  <si>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</si>
  <si>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</si>
  <si>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</si>
  <si>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</si>
  <si>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</si>
  <si>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</si>
  <si>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</si>
  <si>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</si>
  <si>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</si>
  <si>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</si>
  <si>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</si>
  <si>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</si>
  <si>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</si>
  <si>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</si>
  <si>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</si>
  <si>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</si>
  <si>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</si>
  <si>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</si>
  <si>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</si>
  <si>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</si>
  <si>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</si>
  <si>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</si>
  <si>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</si>
  <si>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</si>
  <si>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</si>
  <si>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</si>
  <si>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</si>
  <si>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</si>
  <si>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</si>
  <si>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</si>
  <si>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</si>
  <si>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</si>
  <si>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</si>
  <si>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</si>
  <si>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</si>
  <si>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</si>
  <si>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</si>
  <si>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</si>
  <si>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</si>
  <si>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</si>
  <si>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</si>
  <si>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</si>
  <si>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</si>
  <si>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</si>
  <si>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</si>
  <si>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</si>
  <si>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</si>
  <si>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</si>
  <si>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</si>
  <si>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</si>
  <si>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</si>
  <si>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</si>
  <si>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</si>
  <si>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</si>
  <si>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</si>
  <si>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</si>
  <si>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</si>
  <si>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</si>
  <si>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</si>
  <si>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</si>
  <si>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</si>
  <si>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</si>
  <si>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</si>
  <si>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</si>
  <si>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</si>
  <si>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</si>
  <si>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</si>
  <si>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</si>
  <si>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</si>
  <si>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</si>
  <si>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</si>
  <si>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</si>
  <si>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</si>
  <si>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</si>
  <si>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</si>
  <si>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</si>
  <si>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</si>
  <si>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</si>
  <si>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</si>
  <si>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</si>
  <si>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</si>
  <si>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</si>
  <si>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</si>
  <si>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</si>
  <si>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</si>
  <si>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</si>
  <si>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</si>
  <si>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</si>
  <si>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</si>
  <si>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</si>
  <si>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</si>
  <si>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</si>
  <si>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</si>
  <si>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</si>
  <si>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</si>
  <si>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</si>
  <si>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</si>
  <si>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</si>
  <si>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</si>
  <si>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</si>
  <si>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</si>
  <si>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</si>
  <si>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</si>
  <si>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</si>
  <si>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</si>
  <si>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</si>
  <si>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</si>
  <si>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</si>
  <si>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</si>
  <si>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</si>
  <si>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</si>
  <si>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</si>
  <si>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</si>
  <si>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</si>
  <si>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</si>
  <si>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</si>
  <si>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</si>
  <si>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</si>
  <si>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</si>
  <si>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</si>
  <si>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</si>
  <si>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</si>
  <si>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</si>
  <si>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</si>
  <si>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</si>
  <si>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</si>
  <si>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</si>
  <si>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</si>
  <si>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</si>
  <si>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</si>
  <si>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</si>
  <si>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</si>
  <si>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</si>
  <si>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</si>
  <si>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</si>
  <si>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</si>
  <si>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</si>
  <si>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</si>
  <si>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</si>
  <si>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</si>
  <si>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</si>
  <si>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</si>
  <si>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</si>
  <si>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</si>
  <si>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</si>
  <si>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</si>
  <si>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</si>
  <si>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</si>
  <si>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</si>
  <si>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</si>
  <si>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</si>
  <si>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</si>
  <si>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</si>
  <si>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</si>
  <si>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</si>
  <si>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</si>
  <si>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</si>
  <si>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</si>
  <si>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</si>
  <si>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</si>
  <si>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</si>
  <si>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</si>
  <si>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</si>
  <si>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</si>
  <si>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</si>
  <si>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</si>
  <si>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</si>
  <si>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</si>
  <si>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</si>
  <si>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</si>
  <si>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</si>
  <si>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</si>
  <si>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</si>
  <si>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</si>
  <si>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</si>
  <si>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</si>
  <si>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</si>
  <si>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</si>
  <si>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</si>
  <si>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</si>
  <si>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</si>
  <si>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</si>
  <si>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</si>
  <si>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</si>
  <si>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</si>
  <si>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</si>
  <si>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</si>
  <si>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</si>
  <si>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</si>
  <si>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</si>
  <si>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</si>
  <si>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</si>
  <si>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</si>
  <si>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</si>
  <si>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</si>
  <si>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</si>
  <si>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</si>
  <si>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</si>
  <si>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</si>
  <si>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</si>
  <si>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</si>
  <si>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</si>
  <si>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</si>
  <si>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</si>
  <si>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</si>
  <si>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</si>
  <si>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</si>
  <si>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</si>
  <si>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</si>
  <si>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</si>
  <si>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</si>
  <si>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</si>
  <si>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</si>
  <si>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</si>
  <si>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</si>
  <si>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</si>
  <si>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</si>
  <si>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</si>
  <si>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</si>
  <si>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</si>
  <si>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</si>
  <si>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</si>
  <si>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</si>
  <si>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</si>
  <si>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</si>
  <si>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</si>
  <si>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</si>
  <si>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</si>
  <si>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</si>
  <si>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</si>
  <si>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</si>
  <si>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</si>
  <si>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</si>
  <si>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</si>
  <si>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</si>
  <si>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</si>
  <si>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</si>
  <si>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</si>
  <si>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</si>
  <si>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</si>
  <si>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</si>
  <si>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</si>
  <si>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</si>
  <si>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</si>
  <si>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</si>
  <si>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</si>
  <si>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</si>
  <si>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</si>
  <si>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</si>
  <si>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</si>
  <si>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</si>
  <si>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</si>
  <si>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</si>
  <si>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</si>
  <si>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</si>
  <si>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</si>
  <si>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</si>
  <si>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</si>
  <si>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</si>
  <si>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</si>
  <si>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</si>
  <si>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</si>
  <si>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</si>
  <si>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</si>
  <si>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</si>
  <si>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</si>
  <si>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</si>
  <si>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</si>
  <si>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</si>
  <si>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</si>
  <si>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</si>
  <si>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</si>
  <si>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</si>
  <si>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</si>
  <si>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</si>
  <si>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</si>
  <si>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</si>
  <si>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</si>
  <si>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</si>
  <si>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</si>
  <si>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</si>
  <si>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</si>
  <si>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</si>
  <si>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</si>
  <si>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</si>
  <si>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</si>
  <si>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</si>
  <si>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</si>
  <si>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</si>
  <si>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</si>
  <si>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</si>
  <si>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</si>
  <si>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</si>
  <si>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</si>
  <si>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</si>
  <si>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</si>
  <si>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</si>
  <si>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</si>
  <si>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</si>
  <si>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</si>
  <si>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</si>
  <si>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</si>
  <si>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</si>
  <si>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</si>
  <si>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</si>
  <si>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</si>
  <si>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</si>
  <si>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</si>
  <si>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</si>
  <si>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</si>
  <si>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</si>
  <si>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</si>
  <si>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</si>
  <si>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</si>
  <si>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</si>
  <si>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</si>
  <si>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</si>
  <si>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</si>
  <si>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</si>
  <si>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</si>
  <si>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</si>
  <si>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</si>
  <si>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</si>
  <si>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</si>
  <si>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</si>
  <si>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</si>
  <si>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</si>
  <si>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</si>
  <si>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</si>
  <si>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</si>
  <si>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</si>
  <si>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</si>
  <si>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</si>
  <si>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</si>
  <si>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</si>
  <si>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</si>
  <si>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</si>
  <si>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</si>
  <si>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</si>
  <si>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</si>
  <si>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</si>
  <si>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</si>
  <si>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</si>
  <si>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</si>
  <si>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</si>
  <si>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</si>
  <si>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</si>
  <si>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</si>
  <si>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</si>
  <si>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</si>
  <si>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</si>
  <si>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</si>
  <si>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</si>
  <si>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</si>
  <si>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</si>
  <si>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</si>
  <si>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</si>
  <si>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</si>
  <si>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</si>
  <si>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</si>
  <si>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</si>
  <si>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</si>
  <si>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</si>
  <si>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</si>
  <si>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</si>
  <si>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</si>
  <si>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</si>
  <si>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</si>
  <si>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</si>
  <si>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</si>
  <si>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</si>
  <si>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</si>
  <si>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</si>
  <si>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</si>
  <si>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</si>
  <si>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</si>
  <si>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</si>
  <si>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</si>
  <si>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</si>
  <si>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</si>
  <si>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</si>
  <si>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</si>
  <si>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</si>
  <si>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</si>
  <si>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</si>
  <si>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</si>
  <si>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</si>
  <si>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</si>
  <si>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</si>
  <si>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</si>
  <si>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</si>
  <si>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</si>
  <si>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</si>
  <si>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</si>
  <si>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</si>
  <si>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</si>
  <si>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</si>
  <si>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</si>
  <si>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</si>
  <si>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</si>
  <si>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</si>
  <si>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</si>
  <si>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</si>
  <si>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</si>
  <si>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</si>
  <si>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</si>
  <si>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</si>
  <si>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</si>
  <si>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</si>
  <si>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</si>
  <si>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</si>
  <si>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</si>
  <si>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</si>
  <si>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</si>
  <si>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</si>
  <si>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</si>
  <si>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</si>
  <si>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</si>
  <si>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</si>
  <si>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</si>
  <si>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</si>
  <si>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</si>
  <si>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</si>
  <si>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</si>
  <si>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</si>
  <si>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</si>
  <si>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</si>
  <si>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</si>
  <si>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</si>
  <si>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</si>
  <si>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</si>
  <si>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</si>
  <si>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</si>
  <si>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</si>
  <si>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</si>
  <si>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</si>
  <si>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</si>
  <si>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</si>
  <si>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</si>
  <si>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</si>
  <si>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</si>
  <si>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</si>
  <si>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</si>
  <si>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</si>
  <si>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</si>
  <si>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</si>
  <si>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</si>
  <si>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</si>
  <si>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</si>
  <si>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</si>
  <si>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</si>
  <si>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</si>
  <si>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</si>
  <si>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</si>
  <si>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</si>
  <si>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</si>
  <si>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</si>
  <si>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</si>
  <si>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</si>
  <si>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</si>
  <si>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</si>
  <si>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</si>
  <si>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</si>
  <si>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</si>
  <si>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</si>
  <si>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</si>
  <si>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</si>
  <si>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</si>
  <si>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</si>
  <si>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</si>
  <si>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</si>
  <si>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</si>
  <si>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</si>
  <si>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</si>
  <si>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</si>
  <si>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</si>
  <si>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</si>
  <si>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</si>
  <si>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</si>
  <si>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</si>
  <si>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</si>
  <si>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</si>
  <si>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</si>
  <si>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</si>
  <si>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</si>
  <si>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</si>
  <si>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</si>
  <si>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</si>
  <si>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</si>
  <si>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</si>
  <si>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</si>
  <si>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</si>
  <si>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</si>
  <si>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</si>
  <si>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</si>
  <si>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</si>
  <si>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</si>
  <si>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</si>
  <si>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</si>
  <si>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</si>
  <si>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</si>
  <si>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</si>
  <si>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</si>
  <si>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</si>
  <si>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</si>
  <si>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</si>
  <si>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</si>
  <si>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</si>
  <si>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</si>
  <si>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</si>
  <si>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</si>
  <si>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</si>
  <si>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</si>
  <si>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</si>
  <si>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</si>
  <si>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</si>
  <si>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</si>
  <si>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</si>
  <si>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</si>
  <si>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</si>
  <si>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</si>
  <si>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</si>
  <si>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</si>
  <si>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</si>
  <si>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</si>
  <si>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</si>
  <si>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</si>
  <si>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</si>
  <si>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</si>
  <si>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</si>
  <si>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</si>
  <si>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</si>
  <si>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</si>
  <si>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</si>
  <si>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</si>
  <si>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</si>
  <si>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</si>
  <si>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</si>
  <si>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</si>
  <si>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</si>
  <si>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</si>
  <si>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</si>
  <si>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</si>
  <si>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</si>
  <si>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</si>
  <si>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</si>
  <si>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</si>
  <si>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</si>
  <si>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</si>
  <si>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</si>
  <si>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</si>
  <si>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</si>
  <si>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</si>
  <si>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</si>
  <si>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</si>
  <si>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</si>
  <si>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</si>
  <si>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</si>
  <si>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</si>
  <si>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</si>
  <si>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</si>
  <si>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</si>
  <si>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</si>
  <si>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</si>
  <si>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</si>
  <si>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</si>
  <si>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</si>
  <si>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</si>
  <si>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</si>
  <si>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</si>
  <si>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</si>
  <si>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</si>
  <si>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</si>
  <si>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</si>
  <si>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</si>
  <si>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</si>
  <si>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</si>
  <si>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</si>
  <si>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</si>
  <si>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</si>
  <si>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</si>
  <si>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</si>
  <si>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</si>
  <si>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</si>
  <si>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</si>
  <si>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</si>
  <si>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</si>
  <si>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</si>
  <si>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</si>
  <si>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</si>
  <si>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</si>
  <si>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</si>
  <si>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</si>
  <si>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</si>
  <si>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</si>
  <si>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</si>
  <si>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</si>
  <si>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</si>
  <si>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</si>
  <si>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</si>
  <si>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</si>
  <si>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</si>
  <si>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</si>
  <si>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</si>
  <si>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</si>
  <si>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</si>
  <si>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</si>
  <si>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</si>
  <si>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</si>
  <si>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</si>
  <si>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</si>
  <si>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</si>
  <si>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</si>
  <si>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</si>
  <si>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</si>
  <si>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</si>
  <si>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</si>
  <si>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</si>
  <si>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</si>
  <si>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</si>
  <si>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</si>
  <si>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</si>
  <si>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</si>
  <si>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</si>
  <si>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</si>
  <si>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</si>
  <si>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</si>
  <si>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</si>
  <si>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</si>
  <si>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</si>
  <si>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</si>
  <si>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</si>
  <si>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</si>
  <si>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</si>
  <si>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</si>
  <si>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</si>
  <si>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</si>
  <si>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</si>
  <si>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</si>
  <si>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</si>
  <si>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</si>
  <si>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</si>
  <si>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</si>
  <si>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</si>
  <si>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</si>
  <si>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</si>
  <si>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</si>
  <si>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</si>
  <si>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</si>
  <si>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</si>
  <si>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</si>
  <si>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</si>
  <si>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</si>
  <si>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</si>
  <si>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</si>
  <si>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</si>
  <si>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</si>
  <si>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</si>
  <si>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</si>
  <si>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</si>
  <si>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</si>
  <si>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</si>
  <si>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</si>
  <si>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</si>
  <si>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</si>
  <si>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</si>
  <si>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</si>
  <si>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</si>
  <si>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</si>
  <si>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</si>
  <si>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</si>
  <si>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</si>
  <si>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</si>
  <si>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</si>
  <si>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</si>
  <si>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</si>
  <si>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</si>
  <si>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</si>
  <si>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</si>
  <si>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</si>
  <si>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</si>
  <si>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</si>
  <si>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</si>
  <si>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</si>
  <si>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</si>
  <si>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</si>
  <si>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</si>
  <si>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</si>
  <si>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</si>
  <si>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</si>
  <si>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</si>
  <si>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</si>
  <si>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</si>
  <si>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</si>
  <si>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</si>
  <si>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</si>
  <si>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</si>
  <si>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</si>
  <si>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</si>
  <si>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</si>
  <si>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</si>
  <si>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</si>
  <si>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</si>
  <si>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</si>
  <si>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</si>
  <si>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</si>
  <si>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</si>
  <si>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</si>
  <si>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</si>
  <si>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</si>
  <si>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</si>
  <si>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</si>
  <si>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</si>
  <si>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</si>
  <si>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</si>
  <si>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</si>
  <si>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</si>
  <si>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</si>
  <si>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</si>
  <si>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</si>
  <si>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</si>
  <si>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</si>
  <si>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</si>
  <si>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</si>
  <si>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</si>
  <si>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</si>
  <si>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</si>
  <si>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</si>
  <si>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</si>
  <si>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</si>
  <si>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</si>
  <si>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</si>
  <si>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</si>
  <si>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</si>
  <si>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</si>
  <si>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</si>
  <si>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</si>
  <si>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</si>
  <si>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</si>
  <si>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</si>
  <si>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</si>
  <si>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</si>
  <si>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</si>
  <si>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</si>
  <si>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</si>
  <si>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</si>
  <si>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</si>
  <si>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</si>
  <si>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</si>
  <si>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</si>
  <si>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</si>
  <si>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</si>
  <si>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</si>
  <si>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</si>
  <si>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</si>
  <si>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</si>
  <si>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</si>
  <si>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</si>
  <si>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</si>
  <si>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</si>
  <si>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</si>
  <si>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</si>
  <si>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</si>
  <si>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</si>
  <si>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</si>
  <si>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</si>
  <si>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</si>
  <si>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</si>
  <si>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</si>
  <si>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</si>
  <si>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</si>
  <si>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</si>
  <si>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</si>
  <si>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</si>
  <si>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</si>
  <si>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</si>
  <si>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</si>
  <si>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</si>
  <si>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</si>
  <si>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</si>
  <si>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</si>
  <si>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</si>
  <si>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</si>
  <si>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</si>
  <si>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</si>
  <si>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</si>
  <si>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</si>
  <si>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</si>
  <si>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</si>
  <si>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</si>
  <si>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</si>
  <si>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</si>
  <si>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</si>
  <si>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</si>
  <si>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</si>
  <si>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</si>
  <si>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</si>
  <si>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</si>
  <si>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</si>
  <si>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</si>
  <si>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</si>
  <si>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</si>
  <si>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</si>
  <si>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</si>
  <si>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</si>
  <si>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</si>
  <si>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</si>
  <si>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</si>
  <si>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</si>
  <si>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</si>
  <si>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</si>
  <si>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</si>
  <si>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</si>
  <si>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</si>
  <si>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</si>
  <si>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</si>
  <si>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</si>
  <si>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</si>
  <si>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</si>
  <si>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</si>
  <si>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</si>
  <si>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</si>
  <si>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</si>
  <si>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</si>
  <si>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</si>
  <si>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</si>
  <si>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</si>
  <si>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</si>
  <si>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</si>
  <si>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</si>
  <si>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</si>
  <si>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</si>
  <si>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</si>
  <si>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</si>
  <si>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</si>
  <si>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</si>
  <si>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</si>
  <si>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</si>
  <si>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</si>
  <si>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</si>
  <si>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</si>
  <si>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</si>
  <si>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</si>
  <si>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</si>
  <si>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</si>
  <si>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</si>
  <si>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</si>
  <si>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</si>
  <si>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</si>
  <si>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</si>
  <si>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</si>
  <si>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</si>
  <si>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</si>
  <si>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</si>
  <si>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</si>
  <si>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</si>
  <si>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</si>
  <si>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</si>
  <si>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</si>
  <si>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</si>
  <si>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</si>
  <si>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</si>
  <si>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</si>
  <si>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</si>
  <si>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</si>
  <si>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</si>
  <si>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</si>
  <si>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</si>
  <si>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</si>
  <si>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</si>
  <si>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</si>
  <si>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</si>
  <si>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</si>
  <si>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</si>
  <si>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</si>
  <si>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</si>
  <si>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</si>
  <si>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</si>
  <si>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</si>
  <si>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</si>
  <si>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</si>
  <si>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</si>
  <si>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</si>
  <si>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</si>
  <si>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</si>
  <si>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</si>
  <si>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</si>
  <si>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</si>
  <si>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</si>
  <si>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</si>
  <si>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</si>
  <si>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</si>
  <si>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</si>
  <si>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</si>
  <si>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</si>
  <si>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</si>
  <si>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</si>
  <si>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</si>
  <si>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</si>
  <si>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</si>
  <si>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</si>
  <si>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</si>
  <si>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</si>
  <si>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</si>
  <si>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</si>
  <si>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</si>
  <si>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</si>
  <si>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</si>
  <si>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</si>
  <si>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</si>
  <si>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</si>
  <si>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</si>
  <si>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</si>
  <si>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</si>
  <si>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</si>
  <si>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</si>
  <si>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</si>
  <si>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</si>
  <si>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</si>
  <si>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</si>
  <si>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</si>
  <si>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</si>
  <si>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</si>
  <si>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</si>
  <si>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</si>
  <si>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</si>
  <si>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</si>
  <si>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</si>
  <si>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</si>
  <si>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</si>
  <si>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</si>
  <si>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</si>
  <si>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</si>
  <si>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</si>
  <si>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</si>
  <si>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</si>
  <si>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</si>
  <si>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</si>
  <si>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</si>
  <si>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</si>
  <si>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</si>
  <si>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</si>
  <si>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</si>
  <si>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</si>
  <si>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</si>
  <si>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</si>
  <si>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</si>
  <si>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</si>
  <si>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</si>
  <si>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</si>
  <si>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</si>
  <si>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</si>
  <si>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</si>
  <si>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</si>
  <si>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</si>
  <si>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</si>
  <si>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</si>
  <si>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</si>
  <si>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</si>
  <si>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</si>
  <si>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</si>
  <si>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</si>
  <si>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</si>
  <si>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</si>
  <si>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</si>
  <si>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</si>
  <si>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</si>
  <si>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</si>
  <si>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</si>
  <si>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</si>
  <si>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</si>
  <si>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</si>
  <si>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</si>
  <si>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</si>
  <si>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</si>
  <si>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</si>
  <si>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</si>
  <si>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</si>
  <si>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</si>
  <si>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</si>
  <si>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</si>
  <si>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</si>
  <si>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</si>
  <si>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</si>
  <si>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</si>
  <si>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</si>
  <si>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</si>
  <si>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</si>
  <si>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</si>
  <si>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</si>
  <si>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</si>
  <si>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</si>
  <si>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</si>
  <si>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</si>
  <si>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</si>
  <si>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</si>
  <si>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</si>
  <si>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</si>
  <si>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</si>
  <si>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</si>
  <si>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</si>
  <si>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</si>
  <si>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</si>
  <si>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</si>
  <si>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</si>
  <si>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</si>
  <si>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</si>
  <si>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</si>
  <si>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</si>
  <si>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</si>
  <si>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</si>
  <si>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</si>
  <si>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</si>
  <si>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</si>
  <si>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</si>
  <si>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</si>
  <si>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</si>
  <si>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</si>
  <si>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</si>
  <si>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</si>
  <si>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</si>
  <si>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</si>
  <si>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</si>
  <si>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</si>
  <si>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</si>
  <si>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</si>
  <si>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</si>
  <si>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</si>
  <si>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</si>
  <si>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</si>
  <si>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</si>
  <si>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</si>
  <si>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</si>
  <si>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</si>
  <si>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</si>
  <si>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</si>
  <si>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</si>
  <si>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</si>
  <si>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</si>
  <si>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</si>
  <si>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</si>
  <si>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</si>
  <si>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</si>
  <si>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</si>
  <si>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</si>
  <si>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</si>
  <si>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</si>
  <si>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</si>
  <si>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</si>
  <si>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</si>
  <si>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</si>
  <si>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</si>
  <si>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</si>
  <si>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</si>
  <si>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</si>
  <si>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</si>
  <si>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</si>
  <si>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</si>
  <si>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</si>
  <si>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</si>
  <si>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</si>
  <si>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</si>
  <si>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</si>
  <si>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</si>
  <si>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</si>
  <si>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</si>
  <si>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</si>
  <si>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</si>
  <si>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</si>
  <si>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</si>
  <si>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</si>
  <si>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</si>
  <si>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</si>
  <si>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</si>
  <si>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</si>
  <si>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</si>
  <si>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</si>
  <si>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</si>
  <si>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</si>
  <si>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</si>
  <si>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</si>
  <si>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</si>
  <si>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</si>
  <si>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</si>
  <si>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</si>
  <si>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</si>
  <si>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</si>
  <si>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</si>
  <si>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</si>
  <si>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</si>
  <si>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</si>
  <si>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</si>
  <si>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</si>
  <si>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</si>
  <si>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</si>
  <si>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</si>
  <si>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</si>
  <si>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</si>
  <si>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</si>
  <si>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</si>
  <si>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</si>
  <si>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</si>
  <si>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</si>
  <si>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</si>
  <si>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</si>
  <si>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</si>
  <si>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</si>
  <si>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</si>
  <si>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</si>
  <si>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</si>
  <si>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</si>
  <si>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</si>
  <si>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</si>
  <si>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</si>
  <si>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</si>
  <si>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</si>
  <si>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</si>
  <si>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</si>
  <si>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</si>
  <si>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</si>
  <si>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</si>
  <si>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</si>
  <si>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</si>
  <si>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</si>
  <si>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</si>
  <si>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</si>
  <si>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</si>
  <si>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</si>
  <si>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</si>
  <si>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</si>
  <si>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</si>
  <si>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</si>
  <si>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</si>
  <si>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</si>
  <si>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</si>
  <si>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</si>
  <si>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</si>
  <si>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</si>
  <si>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</si>
  <si>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</si>
  <si>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</si>
  <si>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</si>
  <si>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</si>
  <si>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</si>
  <si>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</si>
  <si>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</si>
  <si>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</si>
  <si>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</si>
  <si>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</si>
  <si>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</si>
  <si>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</si>
  <si>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</si>
  <si>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</si>
  <si>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</si>
  <si>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</si>
  <si>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</si>
  <si>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</si>
  <si>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</si>
  <si>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</si>
  <si>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</si>
  <si>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</si>
  <si>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</si>
  <si>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</si>
  <si>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</si>
  <si>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</si>
  <si>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</si>
  <si>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</si>
  <si>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</si>
  <si>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</si>
  <si>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</si>
  <si>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</si>
  <si>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</si>
  <si>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</si>
  <si>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</si>
  <si>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</si>
  <si>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</si>
  <si>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</si>
  <si>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</si>
  <si>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</si>
  <si>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</si>
  <si>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</si>
  <si>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</si>
  <si>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</si>
  <si>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</si>
  <si>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</si>
  <si>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</si>
  <si>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</si>
  <si>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</si>
  <si>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</si>
  <si>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</si>
  <si>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</si>
  <si>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</si>
  <si>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</si>
  <si>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</si>
  <si>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</si>
  <si>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</si>
  <si>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</si>
  <si>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</si>
  <si>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</si>
  <si>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</si>
  <si>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</si>
  <si>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</si>
  <si>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</si>
  <si>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</si>
  <si>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</si>
  <si>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</si>
  <si>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</si>
  <si>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</si>
  <si>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</si>
  <si>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</si>
  <si>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</si>
  <si>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</si>
  <si>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</si>
  <si>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</si>
  <si>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</si>
  <si>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</si>
  <si>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</si>
  <si>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</si>
  <si>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</si>
  <si>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</si>
  <si>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</si>
  <si>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</si>
  <si>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</si>
  <si>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</si>
  <si>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</si>
  <si>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</si>
  <si>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</si>
  <si>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</si>
  <si>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</si>
  <si>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</si>
  <si>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</si>
  <si>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</si>
  <si>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</si>
  <si>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</si>
  <si>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</si>
  <si>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</si>
  <si>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</si>
  <si>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</si>
  <si>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</si>
  <si>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</si>
  <si>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</si>
  <si>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</si>
  <si>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</si>
  <si>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</si>
  <si>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</si>
  <si>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</si>
  <si>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</si>
  <si>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</si>
  <si>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</si>
  <si>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</si>
  <si>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</si>
  <si>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</si>
  <si>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</si>
  <si>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</si>
  <si>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</si>
  <si>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</si>
  <si>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</si>
  <si>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</si>
  <si>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</si>
  <si>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</si>
  <si>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</si>
  <si>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</si>
  <si>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</si>
  <si>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</si>
  <si>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</si>
  <si>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</si>
  <si>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</si>
  <si>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</si>
  <si>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</si>
  <si>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</si>
  <si>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</si>
  <si>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</si>
  <si>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</si>
  <si>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</si>
  <si>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</si>
  <si>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</si>
  <si>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</si>
  <si>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</si>
  <si>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</si>
  <si>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</si>
  <si>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</si>
  <si>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</si>
  <si>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</si>
  <si>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</si>
  <si>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</si>
  <si>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</si>
  <si>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</si>
  <si>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</si>
  <si>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</si>
  <si>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</si>
  <si>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</si>
  <si>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</si>
  <si>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</si>
  <si>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</si>
  <si>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</si>
  <si>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</si>
  <si>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</si>
  <si>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</si>
  <si>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</si>
  <si>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</si>
  <si>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</si>
  <si>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</si>
  <si>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</si>
  <si>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</si>
  <si>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</si>
  <si>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</si>
  <si>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</si>
  <si>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</si>
  <si>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</si>
  <si>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</si>
  <si>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</si>
  <si>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</si>
  <si>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</si>
  <si>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</si>
  <si>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</si>
  <si>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</si>
  <si>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</si>
  <si>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</si>
  <si>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</si>
  <si>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</si>
  <si>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</si>
  <si>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</si>
  <si>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</si>
  <si>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</si>
  <si>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</si>
  <si>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</si>
  <si>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</si>
  <si>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</si>
  <si>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</si>
  <si>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</si>
  <si>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</si>
  <si>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</si>
  <si>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</si>
  <si>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</si>
  <si>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</si>
  <si>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</si>
  <si>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</si>
  <si>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</si>
  <si>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</si>
  <si>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</si>
  <si>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</si>
  <si>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</si>
  <si>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</si>
  <si>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</si>
  <si>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</si>
  <si>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</si>
  <si>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</si>
  <si>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</si>
  <si>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</si>
  <si>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</si>
  <si>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</si>
  <si>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</si>
  <si>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</si>
  <si>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</si>
  <si>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</si>
  <si>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</si>
  <si>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</si>
  <si>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</si>
  <si>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</si>
  <si>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</si>
  <si>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</si>
  <si>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</si>
  <si>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</si>
  <si>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</si>
  <si>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</si>
  <si>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</si>
  <si>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</si>
  <si>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</si>
  <si>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</si>
  <si>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</si>
  <si>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</si>
  <si>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</si>
  <si>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</si>
  <si>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</si>
  <si>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</si>
  <si>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</si>
  <si>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</si>
  <si>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</si>
  <si>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</si>
  <si>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</si>
  <si>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</si>
  <si>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</si>
  <si>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</si>
  <si>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</si>
  <si>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</si>
  <si>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</si>
  <si>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</si>
  <si>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</si>
  <si>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</si>
  <si>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</si>
  <si>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</si>
  <si>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</si>
  <si>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</si>
  <si>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</si>
  <si>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</si>
  <si>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</si>
  <si>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</si>
  <si>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</si>
  <si>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</si>
  <si>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</si>
  <si>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</si>
  <si>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</si>
  <si>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</si>
  <si>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</si>
  <si>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</si>
  <si>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</si>
  <si>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</si>
  <si>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</si>
  <si>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</si>
  <si>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</si>
  <si>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</si>
  <si>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</si>
  <si>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</si>
  <si>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</si>
  <si>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</si>
  <si>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</si>
  <si>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</si>
  <si>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</si>
  <si>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</si>
  <si>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</si>
  <si>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</si>
  <si>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</si>
  <si>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</si>
  <si>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</si>
  <si>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</si>
  <si>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</si>
  <si>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</si>
  <si>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</si>
  <si>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</si>
  <si>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</si>
  <si>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</si>
  <si>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</si>
  <si>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</si>
  <si>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</si>
  <si>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</si>
  <si>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</si>
  <si>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</si>
  <si>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</si>
  <si>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</si>
  <si>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</si>
  <si>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</si>
  <si>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</si>
  <si>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</si>
  <si>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</si>
  <si>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</si>
  <si>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</si>
  <si>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</si>
  <si>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</si>
  <si>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</si>
  <si>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</si>
  <si>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</si>
  <si>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</si>
  <si>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</si>
  <si>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</si>
  <si>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</si>
  <si>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</si>
  <si>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</si>
  <si>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</si>
  <si>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</si>
  <si>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</si>
  <si>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</si>
  <si>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</si>
  <si>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</si>
  <si>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</si>
  <si>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</si>
  <si>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</si>
  <si>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</si>
  <si>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</si>
  <si>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</si>
  <si>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</si>
  <si>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</si>
  <si>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</si>
  <si>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</si>
  <si>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</si>
  <si>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</si>
  <si>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</si>
  <si>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</si>
  <si>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</si>
  <si>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</si>
  <si>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</si>
  <si>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</si>
  <si>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</si>
  <si>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</si>
  <si>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</si>
  <si>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</si>
  <si>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</si>
  <si>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</si>
  <si>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</si>
  <si>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</si>
  <si>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</si>
  <si>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</si>
  <si>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</si>
  <si>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</si>
  <si>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</si>
  <si>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</si>
  <si>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</si>
  <si>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</si>
  <si>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</si>
  <si>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</si>
  <si>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</si>
  <si>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</si>
  <si>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</si>
  <si>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</si>
  <si>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</si>
  <si>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</si>
  <si>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</si>
  <si>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</si>
  <si>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</si>
  <si>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</si>
  <si>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</si>
  <si>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</si>
  <si>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</si>
  <si>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</si>
  <si>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</si>
  <si>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</si>
  <si>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</si>
  <si>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</si>
  <si>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</si>
  <si>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</si>
  <si>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</si>
  <si>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</si>
  <si>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</si>
  <si>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</si>
  <si>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</si>
  <si>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</si>
  <si>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</si>
  <si>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</si>
  <si>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</si>
  <si>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</si>
  <si>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</si>
  <si>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</si>
  <si>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</si>
  <si>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</si>
  <si>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</si>
  <si>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</si>
  <si>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</si>
  <si>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</si>
  <si>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</si>
  <si>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</si>
  <si>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</si>
  <si>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</si>
  <si>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</si>
  <si>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</si>
  <si>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</si>
  <si>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</si>
  <si>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</si>
  <si>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</si>
  <si>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</si>
  <si>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</si>
  <si>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</si>
  <si>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</si>
  <si>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</si>
  <si>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</si>
  <si>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</si>
  <si>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</si>
  <si>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</si>
  <si>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</si>
  <si>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</si>
  <si>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</si>
  <si>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</si>
  <si>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</si>
  <si>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</si>
  <si>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</si>
  <si>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</si>
  <si>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</si>
  <si>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</si>
  <si>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</si>
  <si>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</si>
  <si>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</si>
  <si>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</si>
  <si>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</si>
  <si>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</si>
  <si>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</si>
  <si>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</si>
  <si>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</si>
  <si>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</si>
  <si>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</si>
  <si>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</si>
  <si>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</si>
  <si>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</si>
  <si>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</si>
  <si>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</si>
  <si>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</si>
  <si>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</si>
  <si>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</si>
  <si>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</si>
  <si>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</si>
  <si>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</si>
  <si>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</si>
  <si>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</si>
  <si>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</si>
  <si>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</si>
  <si>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</si>
  <si>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</si>
  <si>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</si>
  <si>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</si>
  <si>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</si>
  <si>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</si>
  <si>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</si>
  <si>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</si>
  <si>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</si>
  <si>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</si>
  <si>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</si>
  <si>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</si>
  <si>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</si>
  <si>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</si>
  <si>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</si>
  <si>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</si>
  <si>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</si>
  <si>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</si>
  <si>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</si>
  <si>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</si>
  <si>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</si>
  <si>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</si>
  <si>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</si>
  <si>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</si>
  <si>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</si>
  <si>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</si>
  <si>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</si>
  <si>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</si>
  <si>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</si>
  <si>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</si>
  <si>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</si>
  <si>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</si>
  <si>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</si>
  <si>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</si>
  <si>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</si>
  <si>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</si>
  <si>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</si>
  <si>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</si>
  <si>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</si>
  <si>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</si>
  <si>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</si>
  <si>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</si>
  <si>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</si>
  <si>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</si>
  <si>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</si>
  <si>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</si>
  <si>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</si>
  <si>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</si>
  <si>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</si>
  <si>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</si>
  <si>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</si>
  <si>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</si>
  <si>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</si>
  <si>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</si>
  <si>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</si>
  <si>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</si>
  <si>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</si>
  <si>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</si>
  <si>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</si>
  <si>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</si>
  <si>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</si>
  <si>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</si>
  <si>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</si>
  <si>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</si>
  <si>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</si>
  <si>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</si>
  <si>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</si>
  <si>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</si>
  <si>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</si>
  <si>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</si>
  <si>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</si>
  <si>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</si>
  <si>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</si>
  <si>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</si>
  <si>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</si>
  <si>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</si>
  <si>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</si>
  <si>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</si>
  <si>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</si>
  <si>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</si>
  <si>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</si>
  <si>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</si>
  <si>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</si>
  <si>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</si>
  <si>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</si>
  <si>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</si>
  <si>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</si>
  <si>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</si>
  <si>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</si>
  <si>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</si>
  <si>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</si>
  <si>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</si>
  <si>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</si>
  <si>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</si>
  <si>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</si>
  <si>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</si>
  <si>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</si>
  <si>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</si>
  <si>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</si>
  <si>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</si>
  <si>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</si>
  <si>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</si>
  <si>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</si>
  <si>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</si>
  <si>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</si>
  <si>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</si>
  <si>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</si>
  <si>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</si>
  <si>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</si>
  <si>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</si>
  <si>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</si>
  <si>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</si>
  <si>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</si>
  <si>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</si>
  <si>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</si>
  <si>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</si>
  <si>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</si>
  <si>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</si>
  <si>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</si>
  <si>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</si>
  <si>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</si>
  <si>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</si>
  <si>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</si>
  <si>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</si>
  <si>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</si>
  <si>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</si>
  <si>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</si>
  <si>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</si>
  <si>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</si>
  <si>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</si>
  <si>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</si>
  <si>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</si>
  <si>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</si>
  <si>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</si>
  <si>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</si>
  <si>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</si>
  <si>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</si>
  <si>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</si>
  <si>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</si>
  <si>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</si>
  <si>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</si>
  <si>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</si>
  <si>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</si>
  <si>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</si>
  <si>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</si>
  <si>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</si>
  <si>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</si>
  <si>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</si>
  <si>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</si>
  <si>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</si>
  <si>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</si>
  <si>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</si>
  <si>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</si>
  <si>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</si>
  <si>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</si>
  <si>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</si>
  <si>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</si>
  <si>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</si>
  <si>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</si>
  <si>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</si>
  <si>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</si>
  <si>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</si>
  <si>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</si>
  <si>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</si>
  <si>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</si>
  <si>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</si>
  <si>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</si>
  <si>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</si>
  <si>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</si>
  <si>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</si>
  <si>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</si>
  <si>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</si>
  <si>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</si>
  <si>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</si>
  <si>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</si>
  <si>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</si>
  <si>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</si>
  <si>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</si>
  <si>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</si>
  <si>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</si>
  <si>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</si>
  <si>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</si>
  <si>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</si>
  <si>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</si>
  <si>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</si>
  <si>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</si>
  <si>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</si>
  <si>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</si>
  <si>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</si>
  <si>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</si>
  <si>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</si>
  <si>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</si>
  <si>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</si>
  <si>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</si>
  <si>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</si>
  <si>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</si>
  <si>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</si>
  <si>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</si>
  <si>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</si>
  <si>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</si>
  <si>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</si>
  <si>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</si>
  <si>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</si>
  <si>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</si>
  <si>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</si>
  <si>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</si>
  <si>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</si>
  <si>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</si>
  <si>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</si>
  <si>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</si>
  <si>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</si>
  <si>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</si>
  <si>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</si>
  <si>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</si>
  <si>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</si>
  <si>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</si>
  <si>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</si>
  <si>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</si>
  <si>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</si>
  <si>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</si>
  <si>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</si>
  <si>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</si>
  <si>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</si>
  <si>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</si>
  <si>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</si>
  <si>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</si>
  <si>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</si>
  <si>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</si>
  <si>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</si>
  <si>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</si>
  <si>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</si>
  <si>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</si>
  <si>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</si>
  <si>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</si>
  <si>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</si>
  <si>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</si>
  <si>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</si>
  <si>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</si>
  <si>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</si>
  <si>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</si>
  <si>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</si>
  <si>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</si>
  <si>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</si>
  <si>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</si>
  <si>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</si>
  <si>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</si>
  <si>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</si>
  <si>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</si>
  <si>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</si>
  <si>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</si>
  <si>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</si>
  <si>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</si>
  <si>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</si>
  <si>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</si>
  <si>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</si>
  <si>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</si>
  <si>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</si>
  <si>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</si>
  <si>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</si>
  <si>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</si>
  <si>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</si>
  <si>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</si>
  <si>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</si>
  <si>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</si>
  <si>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</si>
  <si>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</si>
  <si>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</si>
  <si>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</si>
  <si>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</si>
  <si>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</si>
  <si>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</si>
  <si>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</si>
  <si>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</si>
  <si>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</si>
  <si>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</si>
  <si>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</si>
  <si>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</si>
  <si>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</si>
  <si>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</si>
  <si>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</si>
  <si>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</si>
  <si>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</si>
  <si>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</si>
  <si>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</si>
  <si>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</si>
  <si>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</si>
  <si>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</si>
  <si>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</si>
  <si>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</si>
  <si>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</si>
  <si>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</si>
  <si>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</si>
  <si>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</si>
  <si>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</si>
  <si>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</si>
  <si>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</si>
  <si>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</si>
  <si>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</si>
  <si>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</si>
  <si>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</si>
  <si>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</si>
  <si>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</si>
  <si>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</si>
  <si>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</si>
  <si>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</si>
  <si>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</si>
  <si>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</si>
  <si>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</si>
  <si>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</si>
  <si>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</si>
  <si>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</si>
  <si>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</si>
  <si>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</si>
  <si>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</si>
  <si>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</si>
  <si>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</si>
  <si>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</si>
  <si>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</si>
  <si>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</si>
  <si>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</si>
  <si>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</si>
  <si>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</si>
  <si>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</si>
  <si>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</si>
  <si>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</si>
  <si>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</si>
  <si>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</si>
  <si>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</si>
  <si>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</si>
  <si>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</si>
  <si>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</si>
  <si>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</si>
  <si>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</si>
  <si>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</si>
  <si>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</si>
  <si>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</si>
  <si>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</si>
  <si>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</si>
  <si>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</si>
  <si>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</si>
  <si>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</si>
  <si>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</si>
  <si>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</si>
  <si>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</si>
  <si>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</si>
  <si>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</si>
  <si>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</si>
  <si>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</si>
  <si>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</si>
  <si>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</si>
  <si>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</si>
  <si>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</si>
  <si>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</si>
  <si>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</si>
  <si>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</si>
  <si>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</si>
  <si>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</si>
  <si>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</si>
  <si>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</si>
  <si>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</si>
  <si>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</si>
  <si>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</si>
  <si>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</si>
  <si>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</si>
  <si>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</si>
  <si>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</si>
  <si>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</si>
  <si>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</si>
  <si>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</si>
  <si>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</si>
  <si>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</si>
  <si>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</si>
  <si>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</si>
  <si>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</si>
  <si>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</si>
  <si>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</si>
  <si>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</si>
  <si>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</si>
  <si>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</si>
  <si>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</si>
  <si>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</si>
  <si>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</si>
  <si>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</si>
  <si>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</si>
  <si>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</si>
  <si>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</si>
  <si>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</si>
  <si>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</si>
  <si>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</si>
  <si>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</si>
  <si>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</si>
  <si>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</si>
  <si>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</si>
  <si>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</si>
  <si>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</si>
  <si>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</si>
  <si>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</si>
  <si>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</si>
  <si>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</si>
  <si>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</si>
  <si>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</si>
  <si>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</si>
  <si>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</si>
  <si>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</si>
  <si>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</si>
  <si>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</si>
  <si>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</si>
  <si>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</si>
  <si>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</si>
  <si>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</si>
  <si>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</si>
  <si>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</si>
  <si>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</si>
  <si>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</si>
  <si>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</si>
  <si>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</si>
  <si>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</si>
  <si>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</si>
  <si>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</si>
  <si>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</si>
  <si>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</si>
  <si>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</si>
  <si>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</si>
  <si>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</si>
  <si>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</si>
  <si>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</si>
  <si>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</si>
  <si>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</si>
  <si>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</si>
  <si>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</si>
  <si>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</si>
  <si>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</si>
  <si>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</si>
  <si>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</si>
  <si>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</si>
  <si>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</si>
  <si>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</si>
  <si>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</si>
  <si>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</si>
  <si>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</si>
  <si>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</si>
  <si>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</si>
  <si>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</si>
  <si>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</si>
  <si>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</si>
  <si>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</si>
  <si>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</si>
  <si>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</si>
  <si>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</si>
  <si>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</si>
  <si>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</si>
  <si>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</si>
  <si>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</si>
  <si>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</si>
  <si>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</si>
  <si>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</si>
  <si>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</si>
  <si>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</si>
  <si>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</si>
  <si>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</si>
  <si>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</si>
  <si>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</si>
  <si>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</si>
  <si>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</si>
  <si>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</si>
  <si>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</si>
  <si>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</si>
  <si>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</si>
  <si>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</si>
  <si>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</si>
  <si>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</si>
  <si>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</si>
  <si>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</si>
  <si>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</si>
  <si>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</si>
  <si>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</si>
  <si>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</si>
  <si>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</si>
  <si>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</si>
  <si>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</si>
  <si>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</si>
  <si>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</si>
  <si>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</si>
  <si>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</si>
  <si>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</si>
  <si>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</si>
  <si>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</si>
  <si>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</si>
  <si>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</si>
  <si>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</si>
  <si>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</si>
  <si>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</si>
  <si>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</si>
  <si>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</si>
  <si>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</si>
  <si>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</si>
  <si>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</si>
  <si>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</si>
  <si>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</si>
  <si>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</si>
  <si>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</si>
  <si>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</si>
  <si>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</si>
  <si>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</si>
  <si>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</si>
  <si>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</si>
  <si>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</si>
  <si>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</si>
  <si>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</si>
  <si>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</si>
  <si>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</si>
  <si>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</si>
  <si>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</si>
  <si>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</si>
  <si>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</si>
  <si>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</si>
  <si>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</si>
  <si>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</si>
  <si>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</si>
  <si>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</si>
  <si>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</si>
  <si>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</si>
  <si>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</si>
  <si>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</si>
  <si>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</si>
  <si>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</si>
  <si>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</si>
  <si>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</si>
  <si>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</si>
  <si>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</si>
  <si>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</si>
  <si>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</si>
  <si>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</si>
  <si>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</si>
  <si>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</si>
  <si>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</si>
  <si>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</si>
  <si>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</si>
  <si>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</si>
  <si>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</si>
  <si>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</si>
  <si>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</si>
  <si>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</si>
  <si>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</si>
  <si>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</si>
  <si>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</si>
  <si>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</si>
  <si>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</si>
  <si>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</si>
  <si>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</si>
  <si>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</si>
  <si>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</si>
  <si>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</si>
  <si>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</si>
  <si>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</si>
  <si>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</si>
  <si>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</si>
  <si>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</si>
  <si>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</si>
  <si>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</si>
  <si>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</si>
  <si>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</si>
  <si>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</si>
  <si>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</si>
  <si>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</si>
  <si>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</si>
  <si>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</si>
  <si>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</si>
  <si>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</si>
  <si>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</si>
  <si>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</si>
  <si>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</si>
  <si>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</si>
  <si>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</si>
  <si>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</si>
  <si>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</si>
  <si>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</si>
  <si>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</si>
  <si>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</si>
  <si>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</si>
  <si>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</si>
  <si>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</si>
  <si>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</si>
  <si>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</si>
  <si>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</si>
  <si>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</si>
  <si>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</si>
  <si>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</si>
  <si>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</si>
  <si>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</si>
  <si>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</si>
  <si>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</si>
  <si>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</si>
  <si>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</si>
  <si>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</si>
  <si>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</si>
  <si>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</si>
  <si>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</si>
  <si>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</si>
  <si>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</si>
  <si>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</si>
  <si>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</si>
  <si>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</si>
  <si>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</si>
  <si>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</si>
  <si>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</si>
  <si>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</si>
  <si>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</si>
  <si>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</si>
  <si>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</si>
  <si>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</si>
  <si>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</si>
  <si>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</si>
  <si>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</si>
  <si>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</si>
  <si>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</si>
  <si>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</si>
  <si>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</si>
  <si>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</si>
  <si>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</si>
  <si>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</si>
  <si>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</si>
  <si>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</si>
  <si>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</si>
  <si>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</si>
  <si>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</si>
  <si>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</si>
  <si>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</si>
  <si>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</si>
  <si>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</si>
  <si>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</si>
  <si>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</si>
  <si>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</si>
  <si>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</si>
  <si>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</si>
  <si>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</si>
  <si>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</si>
  <si>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</si>
  <si>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</si>
  <si>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</si>
  <si>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</si>
  <si>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</si>
  <si>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</si>
  <si>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</si>
  <si>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</si>
  <si>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</si>
  <si>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</si>
  <si>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</si>
  <si>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</si>
  <si>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</si>
  <si>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</si>
  <si>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</si>
  <si>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</si>
  <si>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</si>
  <si>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</si>
  <si>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</si>
  <si>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</si>
  <si>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</si>
  <si>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</si>
  <si>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</si>
  <si>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</si>
  <si>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</si>
  <si>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</si>
  <si>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</si>
  <si>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</si>
  <si>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</si>
  <si>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</si>
  <si>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</si>
  <si>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</si>
  <si>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</si>
  <si>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</si>
  <si>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</si>
  <si>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</si>
  <si>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</si>
  <si>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</si>
  <si>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</si>
  <si>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</si>
  <si>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</si>
  <si>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</si>
  <si>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</si>
  <si>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</si>
  <si>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</si>
  <si>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</si>
  <si>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</si>
  <si>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</si>
  <si>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</si>
  <si>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</si>
  <si>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</si>
  <si>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</si>
  <si>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</si>
  <si>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</si>
  <si>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</si>
  <si>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</si>
  <si>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</si>
  <si>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</si>
  <si>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</si>
  <si>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</si>
  <si>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</si>
  <si>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</si>
  <si>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</si>
  <si>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</si>
  <si>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</si>
  <si>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</si>
  <si>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</si>
  <si>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</si>
  <si>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</si>
  <si>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</si>
  <si>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</si>
  <si>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</si>
  <si>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</si>
  <si>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</si>
  <si>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</si>
  <si>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</si>
  <si>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</si>
  <si>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</si>
  <si>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</si>
  <si>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</si>
  <si>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</si>
  <si>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</si>
  <si>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</si>
  <si>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</si>
  <si>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</si>
  <si>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</si>
  <si>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</si>
  <si>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</si>
  <si>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</si>
  <si>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</si>
  <si>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</si>
  <si>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</si>
  <si>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</si>
  <si>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</si>
  <si>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</si>
  <si>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</si>
  <si>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</si>
  <si>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</si>
  <si>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</si>
  <si>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</si>
  <si>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</si>
  <si>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</si>
  <si>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</si>
  <si>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</si>
  <si>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</si>
  <si>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</si>
  <si>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</si>
  <si>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</si>
  <si>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</si>
  <si>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</si>
  <si>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</si>
  <si>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</si>
  <si>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</si>
  <si>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</si>
  <si>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</si>
  <si>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</si>
  <si>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</si>
  <si>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</si>
  <si>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</si>
  <si>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</si>
  <si>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</si>
  <si>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</si>
  <si>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</si>
  <si>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</si>
  <si>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</si>
  <si>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</si>
  <si>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</si>
  <si>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</si>
  <si>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</si>
  <si>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</si>
  <si>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</si>
  <si>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</si>
  <si>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</si>
  <si>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</si>
  <si>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</si>
  <si>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</si>
  <si>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</si>
  <si>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</si>
  <si>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</si>
  <si>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</si>
  <si>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</si>
  <si>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</si>
  <si>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</si>
  <si>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</si>
  <si>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</si>
  <si>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</si>
  <si>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</si>
  <si>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</si>
  <si>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</si>
  <si>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</si>
  <si>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</si>
  <si>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</si>
  <si>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</si>
  <si>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</si>
  <si>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</si>
  <si>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</si>
  <si>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</si>
  <si>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</si>
  <si>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</si>
  <si>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</si>
  <si>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</si>
  <si>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</si>
  <si>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</si>
  <si>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</si>
  <si>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</si>
  <si>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</si>
  <si>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</si>
  <si>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</si>
  <si>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</si>
  <si>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</si>
  <si>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</si>
  <si>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</si>
  <si>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</si>
  <si>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</si>
  <si>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</si>
  <si>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</si>
  <si>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</si>
  <si>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</si>
  <si>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</si>
  <si>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</si>
  <si>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</si>
  <si>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</si>
  <si>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</si>
  <si>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</si>
  <si>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</si>
  <si>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</si>
  <si>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</si>
  <si>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</si>
  <si>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</si>
  <si>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</si>
  <si>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</si>
  <si>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</si>
  <si>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</si>
  <si>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</si>
  <si>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</si>
  <si>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</si>
  <si>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</si>
  <si>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</si>
  <si>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</si>
  <si>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</si>
  <si>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</si>
  <si>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</si>
  <si>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</si>
  <si>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</si>
  <si>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</si>
  <si>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</si>
  <si>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</si>
  <si>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</si>
  <si>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</si>
  <si>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</si>
  <si>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</si>
  <si>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</si>
  <si>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</si>
  <si>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</si>
  <si>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</si>
  <si>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</si>
  <si>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</si>
  <si>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</si>
  <si>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</si>
  <si>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</si>
  <si>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</si>
  <si>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</si>
  <si>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</si>
  <si>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</si>
  <si>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</si>
  <si>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</si>
  <si>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</si>
  <si>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</si>
  <si>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</si>
  <si>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</si>
  <si>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</si>
  <si>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</si>
  <si>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</si>
  <si>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</si>
  <si>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</si>
  <si>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</si>
  <si>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</si>
  <si>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</si>
  <si>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</si>
  <si>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</si>
  <si>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</si>
  <si>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</si>
  <si>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</si>
  <si>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</si>
  <si>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</si>
  <si>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</si>
  <si>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</si>
  <si>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</si>
  <si>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</si>
  <si>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</si>
  <si>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</si>
  <si>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</si>
  <si>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</si>
  <si>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</si>
  <si>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</si>
  <si>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</si>
  <si>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</si>
  <si>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</si>
  <si>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</si>
  <si>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</si>
  <si>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</si>
  <si>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</si>
  <si>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</si>
  <si>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</si>
  <si>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</si>
  <si>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</si>
  <si>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</si>
  <si>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</si>
  <si>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</si>
  <si>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</si>
  <si>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</si>
  <si>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</si>
  <si>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</si>
  <si>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</si>
  <si>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</si>
  <si>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</si>
  <si>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</si>
  <si>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</si>
  <si>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</si>
  <si>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</si>
  <si>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</si>
  <si>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</si>
  <si>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</si>
  <si>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</si>
  <si>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</si>
  <si>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</si>
  <si>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</si>
  <si>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</si>
  <si>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</si>
  <si>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</si>
  <si>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</si>
  <si>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</si>
  <si>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</si>
  <si>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</si>
  <si>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</si>
  <si>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</si>
  <si>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</si>
  <si>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</si>
  <si>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</si>
  <si>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</si>
  <si>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</si>
  <si>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</si>
  <si>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</si>
  <si>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</si>
  <si>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</si>
  <si>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</si>
  <si>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</si>
  <si>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</si>
  <si>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</si>
  <si>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</si>
  <si>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</si>
  <si>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</si>
  <si>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</si>
  <si>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</si>
  <si>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</si>
  <si>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</si>
  <si>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</si>
  <si>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</si>
  <si>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</si>
  <si>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</si>
  <si>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</si>
  <si>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</si>
  <si>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</si>
  <si>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</si>
  <si>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</si>
  <si>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</si>
  <si>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</si>
  <si>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</si>
  <si>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</si>
  <si>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</si>
  <si>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</si>
  <si>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</si>
  <si>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</si>
  <si>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</si>
  <si>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</si>
  <si>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</si>
  <si>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</si>
  <si>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</si>
  <si>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</si>
  <si>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</si>
  <si>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</si>
  <si>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</si>
  <si>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</si>
  <si>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</si>
  <si>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</si>
  <si>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</si>
  <si>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</si>
  <si>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</si>
  <si>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</si>
  <si>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</si>
  <si>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</si>
  <si>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</si>
  <si>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</si>
  <si>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</si>
  <si>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</si>
  <si>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</si>
  <si>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</si>
  <si>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</si>
  <si>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</si>
  <si>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</si>
  <si>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</si>
  <si>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</si>
  <si>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</si>
  <si>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</si>
  <si>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</si>
  <si>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</si>
  <si>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</si>
  <si>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</si>
  <si>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</si>
  <si>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</si>
  <si>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</si>
  <si>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</si>
  <si>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</si>
  <si>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</si>
  <si>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</si>
  <si>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</si>
  <si>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</si>
  <si>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</si>
  <si>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</si>
  <si>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</si>
  <si>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</si>
  <si>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</si>
  <si>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</si>
  <si>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</si>
  <si>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</si>
  <si>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</si>
  <si>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</si>
  <si>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</si>
  <si>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</si>
  <si>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</si>
  <si>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</si>
  <si>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</si>
  <si>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</si>
  <si>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</si>
  <si>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</si>
  <si>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</si>
  <si>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</si>
  <si>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</si>
  <si>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</si>
  <si>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</si>
  <si>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</si>
  <si>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</si>
  <si>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</si>
  <si>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</si>
  <si>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</si>
  <si>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</si>
  <si>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</si>
  <si>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</si>
  <si>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</si>
  <si>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</si>
  <si>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</si>
  <si>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</si>
  <si>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</si>
  <si>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</si>
  <si>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</si>
  <si>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</si>
  <si>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</si>
  <si>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</si>
  <si>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</si>
  <si>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</si>
  <si>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</si>
  <si>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</si>
  <si>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</si>
  <si>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</si>
  <si>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</si>
  <si>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</si>
  <si>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</si>
  <si>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</si>
  <si>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</si>
  <si>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</si>
  <si>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</si>
  <si>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</si>
  <si>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</si>
  <si>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</si>
  <si>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</si>
  <si>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</si>
  <si>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</si>
  <si>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</si>
  <si>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</si>
  <si>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</si>
  <si>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</si>
  <si>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</si>
  <si>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</si>
  <si>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</si>
  <si>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</si>
  <si>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</si>
  <si>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</si>
  <si>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</si>
  <si>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</si>
  <si>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</si>
  <si>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</si>
  <si>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</si>
  <si>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</si>
  <si>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</si>
  <si>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</si>
  <si>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</si>
  <si>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</si>
  <si>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</si>
  <si>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</si>
  <si>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</si>
  <si>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</si>
  <si>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</si>
  <si>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</si>
  <si>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</si>
  <si>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</si>
  <si>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</si>
  <si>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</si>
  <si>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</si>
  <si>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</si>
  <si>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</si>
  <si>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</si>
  <si>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</si>
  <si>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</si>
  <si>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</si>
  <si>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</si>
  <si>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</si>
  <si>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</si>
  <si>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</si>
  <si>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</si>
  <si>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</si>
  <si>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</si>
  <si>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</si>
  <si>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</si>
  <si>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</si>
  <si>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</si>
  <si>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</si>
  <si>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</si>
  <si>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</si>
  <si>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</si>
  <si>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</si>
  <si>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</si>
  <si>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</si>
  <si>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</si>
  <si>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</si>
  <si>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</si>
  <si>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</si>
  <si>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</si>
  <si>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</si>
  <si>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</si>
  <si>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</si>
  <si>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</si>
  <si>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</si>
  <si>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</si>
  <si>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</si>
  <si>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</si>
  <si>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</si>
  <si>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</si>
  <si>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</si>
  <si>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</si>
  <si>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</si>
  <si>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</si>
  <si>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</si>
  <si>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</si>
  <si>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</si>
  <si>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</si>
  <si>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</si>
  <si>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</si>
  <si>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</si>
  <si>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</si>
  <si>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</si>
  <si>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</si>
  <si>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</si>
  <si>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</si>
  <si>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</si>
  <si>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</si>
  <si>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</si>
  <si>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</si>
  <si>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</si>
  <si>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</si>
  <si>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</si>
  <si>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</si>
  <si>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</si>
  <si>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</si>
  <si>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</si>
  <si>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</si>
  <si>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</si>
  <si>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</si>
  <si>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</si>
  <si>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</si>
  <si>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</si>
  <si>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</si>
  <si>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</si>
  <si>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</si>
  <si>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</si>
  <si>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</si>
  <si>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</si>
  <si>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</si>
  <si>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</si>
  <si>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</si>
  <si>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</si>
  <si>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</si>
  <si>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</si>
  <si>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</si>
  <si>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</si>
  <si>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</si>
  <si>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</si>
  <si>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</si>
  <si>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</si>
  <si>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</si>
  <si>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</si>
  <si>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</si>
  <si>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</si>
  <si>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</si>
  <si>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</si>
  <si>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</si>
  <si>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</si>
  <si>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</si>
  <si>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</si>
  <si>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</si>
  <si>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</si>
  <si>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</si>
  <si>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</si>
  <si>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</si>
  <si>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</si>
  <si>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</si>
  <si>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</si>
  <si>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</si>
  <si>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</si>
  <si>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</si>
  <si>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</si>
  <si>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</si>
  <si>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</si>
  <si>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</si>
  <si>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</si>
  <si>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</si>
  <si>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</si>
  <si>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</si>
  <si>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</si>
  <si>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</si>
  <si>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</si>
  <si>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</si>
  <si>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</si>
  <si>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</si>
  <si>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</si>
  <si>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</si>
  <si>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</si>
  <si>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</si>
  <si>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</si>
  <si>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</si>
  <si>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</si>
  <si>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</si>
  <si>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</si>
  <si>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</si>
  <si>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</si>
  <si>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</si>
  <si>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</si>
  <si>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</si>
  <si>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</si>
  <si>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</si>
  <si>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</si>
  <si>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</si>
  <si>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</si>
  <si>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</si>
  <si>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</si>
  <si>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</si>
  <si>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</si>
  <si>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</si>
  <si>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</si>
  <si>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</si>
  <si>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</si>
  <si>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</si>
  <si>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</si>
  <si>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</si>
  <si>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</si>
  <si>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</si>
  <si>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</si>
  <si>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</si>
  <si>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</si>
  <si>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</si>
  <si>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</si>
  <si>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</si>
  <si>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</si>
  <si>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</si>
  <si>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</si>
  <si>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</si>
  <si>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</si>
  <si>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</si>
  <si>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</si>
  <si>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</si>
  <si>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</si>
  <si>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</si>
  <si>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</si>
  <si>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</si>
  <si>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</si>
  <si>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</si>
  <si>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</si>
  <si>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</si>
  <si>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</si>
  <si>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</si>
  <si>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</si>
  <si>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</si>
  <si>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</si>
  <si>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</si>
  <si>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</si>
  <si>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</si>
  <si>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</si>
  <si>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</si>
  <si>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</si>
  <si>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</si>
  <si>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</si>
  <si>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</si>
  <si>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</si>
  <si>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</si>
  <si>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</si>
  <si>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</si>
  <si>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</si>
  <si>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</si>
  <si>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</si>
  <si>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</si>
  <si>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</si>
  <si>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</si>
  <si>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</si>
  <si>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</si>
  <si>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</si>
  <si>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</si>
  <si>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</si>
  <si>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</si>
  <si>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</si>
  <si>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</si>
  <si>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</si>
  <si>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</si>
  <si>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</si>
  <si>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</si>
  <si>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</si>
  <si>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</si>
  <si>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</si>
  <si>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</si>
  <si>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</si>
  <si>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</si>
  <si>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</si>
  <si>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</si>
  <si>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</si>
  <si>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</si>
  <si>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</si>
  <si>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</si>
  <si>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</si>
  <si>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</si>
  <si>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</si>
  <si>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</si>
  <si>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</si>
  <si>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</si>
  <si>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</si>
  <si>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</si>
  <si>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</si>
  <si>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</si>
  <si>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</si>
  <si>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</si>
  <si>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</si>
  <si>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</si>
  <si>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</si>
  <si>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</si>
  <si>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</si>
  <si>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</si>
  <si>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</si>
  <si>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</si>
  <si>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</si>
  <si>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</si>
  <si>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</si>
  <si>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</si>
  <si>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</si>
  <si>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</si>
  <si>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</si>
  <si>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</si>
  <si>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</si>
  <si>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</si>
  <si>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</si>
  <si>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</si>
  <si>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</si>
  <si>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</si>
  <si>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</si>
  <si>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</si>
  <si>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</si>
  <si>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</si>
  <si>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</si>
  <si>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</si>
  <si>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</si>
  <si>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</si>
  <si>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</si>
  <si>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</si>
  <si>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</si>
  <si>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</si>
  <si>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</si>
  <si>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</si>
  <si>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</si>
  <si>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</si>
  <si>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</si>
  <si>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</si>
  <si>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</si>
  <si>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</si>
  <si>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</si>
  <si>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</si>
  <si>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</si>
  <si>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</si>
  <si>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</si>
  <si>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</si>
  <si>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</si>
  <si>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</si>
  <si>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</si>
  <si>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</si>
  <si>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</si>
  <si>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</si>
  <si>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</si>
  <si>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</si>
  <si>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</si>
  <si>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</si>
  <si>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</si>
  <si>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</si>
  <si>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</si>
  <si>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</si>
  <si>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</si>
  <si>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</si>
  <si>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</si>
  <si>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</si>
  <si>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</si>
  <si>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</si>
  <si>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</si>
  <si>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</si>
  <si>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</si>
  <si>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</si>
  <si>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</si>
  <si>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</si>
  <si>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</si>
  <si>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</si>
  <si>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</si>
  <si>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</si>
  <si>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</si>
  <si>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</si>
  <si>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</si>
  <si>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</si>
  <si>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</si>
  <si>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</si>
  <si>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</si>
  <si>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</si>
  <si>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</si>
  <si>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</si>
  <si>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</si>
  <si>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</si>
  <si>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</si>
  <si>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</si>
  <si>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</si>
  <si>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</si>
  <si>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</si>
  <si>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</si>
  <si>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</si>
  <si>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</si>
  <si>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</si>
  <si>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</si>
  <si>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</si>
  <si>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</si>
  <si>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</si>
  <si>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</si>
  <si>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</si>
  <si>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</si>
  <si>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</si>
  <si>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</si>
  <si>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</si>
  <si>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</si>
  <si>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</si>
  <si>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</si>
  <si>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</si>
  <si>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</si>
  <si>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</si>
  <si>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</si>
  <si>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</si>
  <si>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</si>
  <si>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</si>
  <si>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</si>
  <si>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</si>
  <si>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</si>
  <si>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</si>
  <si>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</si>
  <si>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</si>
  <si>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</si>
  <si>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</si>
  <si>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</si>
  <si>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</si>
  <si>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</si>
  <si>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</si>
  <si>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</si>
  <si>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</si>
  <si>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</si>
  <si>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</si>
  <si>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</si>
  <si>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</si>
  <si>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</si>
  <si>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</si>
  <si>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</si>
  <si>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</si>
  <si>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</si>
  <si>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</si>
  <si>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</si>
  <si>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</si>
  <si>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</si>
  <si>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</si>
  <si>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</si>
  <si>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</si>
  <si>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</si>
  <si>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</si>
  <si>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</si>
  <si>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</si>
  <si>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</si>
  <si>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</si>
  <si>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</si>
  <si>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</si>
  <si>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</si>
  <si>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</si>
  <si>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</si>
  <si>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</si>
  <si>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</si>
  <si>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</si>
  <si>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</si>
  <si>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</si>
  <si>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</si>
  <si>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</si>
  <si>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</si>
  <si>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</si>
  <si>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</si>
  <si>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</si>
  <si>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</si>
  <si>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</si>
  <si>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</si>
  <si>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</si>
  <si>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</si>
  <si>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</si>
  <si>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</si>
  <si>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</si>
  <si>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</si>
  <si>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</si>
  <si>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</si>
  <si>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</si>
  <si>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</si>
  <si>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</si>
  <si>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</si>
  <si>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</si>
  <si>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</si>
  <si>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</si>
  <si>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</si>
  <si>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</si>
  <si>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</si>
  <si>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</si>
  <si>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</si>
  <si>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</si>
  <si>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</si>
  <si>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</si>
  <si>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</si>
  <si>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</si>
  <si>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</si>
  <si>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</si>
  <si>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</si>
  <si>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</si>
  <si>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</si>
  <si>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</si>
  <si>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</si>
  <si>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</si>
  <si>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</si>
  <si>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</si>
  <si>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</si>
  <si>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</si>
  <si>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</si>
  <si>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</si>
  <si>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</si>
  <si>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</si>
  <si>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</si>
  <si>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</si>
  <si>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</si>
  <si>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</si>
  <si>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</si>
  <si>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</si>
  <si>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</si>
  <si>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</si>
  <si>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</si>
  <si>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</si>
  <si>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</si>
  <si>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</si>
  <si>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</si>
  <si>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</si>
  <si>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</si>
  <si>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</si>
  <si>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</si>
  <si>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</si>
  <si>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</si>
  <si>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</si>
  <si>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</si>
  <si>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</si>
  <si>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</si>
  <si>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</si>
  <si>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</si>
  <si>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</si>
  <si>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</si>
  <si>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</si>
  <si>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</si>
  <si>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</si>
  <si>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</si>
  <si>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</si>
  <si>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</si>
  <si>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</si>
  <si>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</si>
  <si>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</si>
  <si>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</si>
  <si>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</si>
  <si>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</si>
  <si>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</si>
  <si>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</si>
  <si>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</si>
  <si>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</si>
  <si>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</si>
  <si>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</si>
  <si>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</si>
  <si>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</si>
  <si>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</si>
  <si>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</si>
  <si>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</si>
  <si>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</si>
  <si>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</si>
  <si>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</si>
  <si>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</si>
  <si>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</si>
  <si>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</si>
  <si>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</si>
  <si>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</si>
  <si>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</si>
  <si>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</si>
  <si>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</si>
  <si>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</si>
  <si>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</si>
  <si>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</si>
  <si>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</si>
  <si>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</si>
  <si>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</si>
  <si>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</si>
  <si>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</si>
  <si>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</si>
  <si>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</si>
  <si>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</si>
  <si>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</si>
  <si>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</si>
  <si>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</si>
  <si>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</si>
  <si>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</si>
  <si>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</si>
  <si>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</si>
  <si>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</si>
  <si>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</si>
  <si>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</si>
  <si>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</si>
  <si>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</si>
  <si>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</si>
  <si>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</si>
  <si>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</si>
  <si>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</si>
  <si>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</si>
  <si>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</si>
  <si>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</si>
  <si>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</si>
  <si>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</si>
  <si>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</si>
  <si>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</si>
  <si>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</si>
  <si>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</si>
  <si>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</si>
  <si>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</si>
  <si>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</si>
  <si>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</si>
  <si>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</si>
  <si>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</si>
  <si>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</si>
  <si>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</si>
  <si>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</si>
  <si>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</si>
  <si>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</si>
  <si>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</si>
  <si>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</si>
  <si>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</si>
  <si>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</si>
  <si>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</si>
  <si>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</si>
  <si>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</si>
  <si>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</si>
  <si>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</si>
  <si>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</si>
  <si>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</si>
  <si>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</si>
  <si>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</si>
  <si>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</si>
  <si>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</si>
  <si>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</si>
  <si>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</si>
  <si>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</si>
  <si>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</si>
  <si>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</si>
  <si>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</si>
  <si>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</si>
  <si>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</si>
  <si>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</si>
  <si>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</si>
  <si>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</si>
  <si>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</si>
  <si>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</si>
  <si>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</si>
  <si>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</si>
  <si>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</si>
  <si>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</si>
  <si>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</si>
  <si>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</si>
  <si>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</si>
  <si>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</si>
  <si>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</si>
  <si>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</si>
  <si>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</si>
  <si>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</si>
  <si>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</si>
  <si>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</si>
  <si>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</si>
  <si>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</si>
  <si>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</si>
  <si>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</si>
  <si>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</si>
  <si>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</si>
  <si>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</si>
  <si>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</si>
  <si>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</si>
  <si>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</si>
  <si>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</si>
  <si>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</si>
  <si>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</si>
  <si>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</si>
  <si>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</si>
  <si>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</si>
  <si>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</si>
  <si>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</si>
  <si>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</si>
  <si>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</si>
  <si>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</si>
  <si>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</si>
  <si>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</si>
  <si>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</si>
  <si>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</si>
  <si>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</si>
  <si>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</si>
  <si>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</si>
  <si>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</si>
  <si>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</si>
  <si>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</si>
  <si>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</si>
  <si>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</si>
  <si>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</si>
  <si>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</si>
  <si>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</si>
  <si>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</si>
  <si>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</si>
  <si>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</si>
  <si>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</si>
  <si>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</si>
  <si>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</si>
  <si>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</si>
  <si>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</si>
  <si>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</si>
  <si>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</si>
  <si>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</si>
  <si>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</si>
  <si>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</si>
  <si>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</si>
  <si>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</si>
  <si>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</si>
  <si>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</si>
  <si>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</si>
  <si>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</si>
  <si>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</si>
  <si>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</si>
  <si>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</si>
  <si>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</si>
  <si>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</si>
  <si>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</si>
  <si>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</si>
  <si>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</si>
  <si>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</si>
  <si>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</si>
  <si>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</si>
  <si>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</si>
  <si>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</si>
  <si>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</si>
  <si>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</si>
  <si>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</si>
  <si>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</si>
  <si>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</si>
  <si>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</si>
  <si>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</si>
  <si>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</si>
  <si>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</si>
  <si>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</si>
  <si>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</si>
  <si>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</si>
  <si>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</si>
  <si>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</si>
  <si>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</si>
  <si>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</si>
  <si>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</si>
  <si>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</si>
  <si>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</si>
  <si>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</si>
  <si>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</si>
  <si>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</si>
  <si>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</si>
  <si>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</si>
  <si>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</si>
  <si>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</si>
  <si>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</si>
  <si>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</si>
  <si>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</si>
  <si>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</si>
  <si>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</si>
  <si>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</si>
  <si>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</si>
  <si>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</si>
  <si>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</si>
  <si>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</si>
  <si>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</si>
  <si>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</si>
  <si>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</si>
  <si>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</si>
  <si>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</si>
  <si>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</si>
  <si>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</si>
  <si>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</si>
  <si>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</si>
  <si>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</si>
  <si>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</si>
  <si>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</si>
  <si>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</si>
  <si>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</si>
  <si>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</si>
  <si>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</si>
  <si>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</si>
  <si>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</si>
  <si>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</si>
  <si>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</si>
  <si>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</si>
  <si>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</si>
  <si>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</si>
  <si>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</si>
  <si>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</si>
  <si>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</si>
  <si>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</si>
  <si>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</si>
  <si>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</si>
  <si>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</si>
  <si>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</si>
  <si>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</si>
  <si>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</si>
  <si>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</si>
  <si>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</si>
  <si>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</si>
  <si>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</si>
  <si>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</si>
  <si>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</si>
  <si>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</si>
  <si>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</si>
  <si>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</si>
  <si>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</si>
  <si>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</si>
  <si>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</si>
  <si>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</si>
  <si>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</si>
  <si>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</si>
  <si>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</si>
  <si>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</si>
  <si>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</si>
  <si>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</si>
  <si>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</si>
  <si>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</si>
  <si>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</si>
  <si>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</si>
  <si>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</si>
  <si>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</si>
  <si>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</si>
  <si>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</si>
  <si>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</si>
  <si>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</si>
  <si>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</si>
  <si>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</si>
  <si>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</si>
  <si>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</si>
  <si>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</si>
  <si>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</si>
  <si>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</si>
  <si>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</si>
  <si>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</si>
  <si>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</si>
  <si>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</si>
  <si>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</si>
  <si>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</si>
  <si>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</si>
  <si>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</si>
  <si>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</si>
  <si>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</si>
  <si>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</si>
  <si>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</si>
  <si>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</si>
  <si>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</si>
  <si>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</si>
  <si>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</si>
  <si>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</si>
  <si>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</si>
  <si>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</si>
  <si>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</si>
  <si>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</si>
  <si>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</si>
  <si>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</si>
  <si>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</si>
  <si>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</si>
  <si>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</si>
  <si>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</si>
  <si>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</si>
  <si>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</si>
  <si>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</si>
  <si>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</si>
  <si>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</si>
  <si>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</si>
  <si>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</si>
  <si>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</si>
  <si>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</si>
  <si>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</si>
  <si>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</si>
  <si>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</si>
  <si>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</si>
  <si>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</si>
  <si>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</si>
  <si>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</si>
  <si>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</si>
  <si>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</si>
  <si>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</si>
  <si>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</si>
  <si>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</si>
  <si>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</si>
  <si>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</si>
  <si>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</si>
  <si>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</si>
  <si>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</si>
  <si>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</si>
  <si>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</si>
  <si>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</si>
  <si>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</si>
  <si>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</si>
  <si>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</si>
  <si>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</si>
  <si>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</si>
  <si>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</si>
  <si>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</si>
  <si>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</si>
  <si>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</si>
  <si>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</si>
  <si>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</si>
  <si>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</si>
  <si>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</si>
  <si>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</si>
  <si>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</si>
  <si>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</si>
  <si>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</si>
  <si>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</si>
  <si>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</si>
  <si>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</si>
  <si>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</si>
  <si>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</si>
  <si>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</si>
  <si>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</si>
  <si>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</si>
  <si>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</si>
  <si>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</si>
  <si>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</si>
  <si>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</si>
  <si>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</si>
  <si>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</si>
  <si>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</si>
  <si>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</si>
  <si>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</si>
  <si>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</si>
  <si>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</si>
  <si>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</si>
  <si>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</si>
  <si>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</si>
  <si>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</si>
  <si>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</si>
  <si>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</si>
  <si>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</si>
  <si>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</si>
  <si>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</si>
  <si>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</si>
  <si>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</si>
  <si>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</si>
  <si>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</si>
  <si>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</si>
  <si>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</si>
  <si>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</si>
  <si>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</si>
  <si>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</si>
  <si>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</si>
  <si>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</si>
  <si>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</si>
  <si>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</si>
  <si>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</si>
  <si>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</si>
  <si>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</si>
  <si>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</si>
  <si>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</si>
  <si>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</si>
  <si>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</si>
  <si>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</si>
  <si>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</si>
  <si>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</si>
  <si>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</si>
  <si>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</si>
  <si>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</si>
  <si>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</si>
  <si>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</si>
  <si>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</si>
  <si>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</si>
  <si>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</si>
  <si>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</si>
  <si>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</si>
  <si>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</si>
  <si>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</si>
  <si>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</si>
  <si>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</si>
  <si>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</si>
  <si>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</si>
  <si>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</si>
  <si>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</si>
  <si>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</si>
  <si>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</si>
  <si>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</si>
  <si>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</si>
  <si>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</si>
  <si>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</si>
  <si>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</si>
  <si>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</si>
  <si>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</si>
  <si>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</si>
  <si>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</si>
  <si>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</si>
  <si>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</si>
  <si>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</si>
  <si>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</si>
  <si>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</si>
  <si>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</si>
  <si>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</si>
  <si>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</si>
  <si>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</si>
  <si>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</si>
  <si>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</si>
  <si>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</si>
  <si>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</si>
  <si>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</si>
  <si>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</si>
  <si>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</si>
  <si>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</si>
  <si>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</si>
  <si>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</si>
  <si>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</si>
  <si>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</si>
  <si>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</si>
  <si>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</si>
  <si>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</si>
  <si>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</si>
  <si>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</si>
  <si>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</si>
  <si>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</si>
  <si>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</si>
  <si>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</si>
  <si>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</si>
  <si>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</si>
  <si>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</si>
  <si>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</si>
  <si>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</si>
  <si>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</si>
  <si>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</si>
  <si>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</si>
  <si>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</si>
  <si>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</si>
  <si>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</si>
  <si>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</si>
  <si>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</si>
  <si>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</si>
  <si>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</si>
  <si>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</si>
  <si>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</si>
  <si>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</si>
  <si>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</si>
  <si>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</si>
  <si>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</si>
  <si>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</si>
  <si>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</si>
  <si>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</si>
  <si>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</si>
  <si>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</si>
  <si>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</si>
  <si>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</si>
  <si>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</si>
  <si>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</si>
  <si>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</si>
  <si>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</si>
  <si>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</si>
  <si>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</si>
  <si>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</si>
  <si>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</si>
  <si>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</si>
  <si>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</si>
  <si>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</si>
  <si>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</si>
  <si>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</si>
  <si>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</si>
  <si>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</si>
  <si>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</si>
  <si>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</si>
  <si>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</si>
  <si>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</si>
  <si>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</si>
  <si>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</si>
  <si>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</si>
  <si>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</si>
  <si>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</si>
  <si>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</si>
  <si>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</si>
  <si>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</si>
  <si>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</si>
  <si>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</si>
  <si>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</si>
  <si>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</si>
  <si>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</si>
  <si>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</si>
  <si>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</si>
  <si>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</si>
  <si>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</si>
  <si>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</si>
  <si>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</si>
  <si>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</si>
  <si>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</si>
  <si>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</si>
  <si>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</si>
  <si>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</si>
  <si>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</si>
  <si>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</si>
  <si>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</si>
  <si>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</si>
  <si>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</si>
  <si>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</si>
  <si>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</si>
  <si>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</si>
  <si>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</si>
  <si>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</si>
  <si>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</si>
  <si>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</si>
  <si>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</si>
  <si>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</si>
  <si>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</si>
  <si>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</si>
  <si>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</si>
  <si>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</si>
  <si>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</si>
  <si>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</si>
  <si>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</si>
  <si>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</si>
  <si>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</si>
  <si>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</si>
  <si>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</si>
  <si>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</si>
  <si>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</si>
  <si>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</si>
  <si>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</si>
  <si>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</si>
  <si>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</si>
  <si>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</si>
  <si>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</si>
  <si>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</si>
  <si>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</si>
  <si>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</si>
  <si>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</si>
  <si>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</si>
  <si>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</si>
  <si>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</si>
  <si>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</si>
  <si>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</si>
  <si>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</si>
  <si>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</si>
  <si>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</si>
  <si>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</si>
  <si>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</si>
  <si>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</si>
  <si>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</si>
  <si>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</si>
  <si>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</si>
  <si>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</si>
  <si>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</si>
  <si>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</si>
  <si>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</si>
  <si>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</si>
  <si>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</si>
  <si>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</si>
  <si>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</si>
  <si>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</si>
  <si>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</si>
  <si>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</si>
  <si>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</si>
  <si>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</si>
  <si>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</si>
  <si>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</si>
  <si>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</si>
  <si>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</si>
  <si>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</si>
  <si>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</si>
  <si>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</si>
  <si>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</si>
  <si>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</si>
  <si>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</si>
  <si>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</si>
  <si>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</si>
  <si>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</si>
  <si>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</si>
  <si>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</si>
  <si>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</si>
  <si>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</si>
  <si>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</si>
  <si>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</si>
  <si>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</si>
  <si>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</si>
  <si>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</si>
  <si>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</si>
  <si>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</si>
  <si>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</si>
  <si>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</si>
  <si>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</si>
  <si>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</si>
  <si>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</si>
  <si>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</si>
  <si>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</si>
  <si>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</si>
  <si>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</si>
  <si>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</si>
  <si>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</si>
  <si>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</si>
  <si>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</si>
  <si>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</si>
  <si>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</si>
  <si>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</si>
  <si>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</si>
  <si>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</si>
  <si>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</si>
  <si>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</si>
  <si>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</si>
  <si>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</si>
  <si>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</si>
  <si>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</si>
  <si>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</si>
  <si>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</si>
  <si>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</si>
  <si>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</si>
  <si>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</si>
  <si>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</si>
  <si>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</si>
  <si>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</si>
  <si>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</si>
  <si>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</si>
  <si>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</si>
  <si>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</si>
  <si>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</si>
  <si>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</si>
  <si>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</si>
  <si>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</si>
  <si>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</si>
  <si>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</si>
  <si>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</si>
  <si>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</si>
  <si>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</si>
  <si>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</si>
  <si>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</si>
  <si>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</si>
  <si>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</si>
  <si>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</si>
  <si>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</si>
  <si>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</si>
  <si>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</si>
  <si>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</si>
  <si>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</si>
  <si>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</si>
  <si>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</si>
  <si>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</si>
  <si>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</si>
  <si>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</si>
  <si>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</si>
  <si>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</si>
  <si>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</si>
  <si>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</si>
  <si>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</si>
  <si>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</si>
  <si>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</si>
  <si>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</si>
  <si>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</si>
  <si>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</si>
  <si>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</si>
  <si>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</si>
  <si>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</si>
  <si>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</si>
  <si>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</si>
  <si>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</si>
  <si>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</si>
  <si>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</si>
  <si>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</si>
  <si>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</si>
  <si>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</si>
  <si>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</si>
  <si>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</si>
  <si>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</si>
  <si>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</si>
  <si>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</si>
  <si>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</si>
  <si>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</si>
  <si>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</si>
  <si>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</si>
  <si>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</si>
  <si>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</si>
  <si>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</si>
  <si>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</si>
  <si>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</si>
  <si>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</si>
  <si>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</si>
  <si>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</si>
  <si>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</si>
  <si>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</si>
  <si>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</si>
  <si>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</si>
  <si>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</si>
  <si>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</si>
  <si>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</si>
  <si>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</si>
  <si>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</si>
  <si>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</si>
  <si>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</si>
  <si>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</si>
  <si>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</si>
  <si>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</si>
  <si>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</si>
  <si>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</si>
  <si>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</si>
  <si>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</si>
  <si>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</si>
  <si>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</si>
  <si>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</si>
  <si>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</si>
  <si>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</si>
  <si>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</si>
  <si>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</si>
  <si>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</si>
  <si>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</si>
  <si>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</si>
  <si>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</si>
  <si>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</si>
  <si>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</si>
  <si>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</si>
  <si>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</si>
  <si>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</si>
  <si>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</si>
  <si>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</si>
  <si>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</si>
  <si>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</si>
  <si>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</si>
  <si>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</si>
  <si>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</si>
  <si>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</si>
  <si>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</si>
  <si>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</si>
  <si>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</si>
  <si>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</si>
  <si>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</si>
  <si>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</si>
  <si>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</si>
  <si>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</si>
  <si>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</si>
  <si>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</si>
  <si>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</si>
  <si>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</si>
  <si>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</si>
  <si>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</si>
  <si>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</si>
  <si>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</si>
  <si>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</si>
  <si>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</si>
  <si>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</si>
  <si>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</si>
  <si>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</si>
  <si>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</si>
  <si>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</si>
  <si>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</si>
  <si>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</si>
  <si>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</si>
  <si>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</si>
  <si>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</si>
  <si>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</si>
  <si>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</si>
  <si>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</si>
  <si>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</si>
  <si>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</si>
  <si>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</si>
  <si>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</si>
  <si>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</si>
  <si>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</si>
  <si>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</si>
  <si>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</si>
  <si>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</si>
  <si>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</si>
  <si>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</si>
  <si>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</si>
  <si>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</si>
  <si>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</si>
  <si>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</si>
  <si>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</si>
  <si>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</si>
  <si>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</si>
  <si>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</si>
  <si>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</si>
  <si>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</si>
  <si>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</si>
  <si>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</si>
  <si>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</si>
  <si>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</si>
  <si>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</si>
  <si>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</si>
  <si>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</si>
  <si>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</si>
  <si>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</si>
  <si>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</si>
  <si>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</si>
  <si>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</si>
  <si>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</si>
  <si>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</si>
  <si>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</si>
  <si>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</si>
  <si>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</si>
  <si>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</si>
  <si>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</si>
  <si>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</si>
  <si>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</si>
  <si>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</si>
  <si>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</si>
  <si>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</si>
  <si>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</si>
  <si>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</si>
  <si>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</si>
  <si>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</si>
  <si>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</si>
  <si>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</si>
  <si>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</si>
  <si>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</si>
  <si>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</si>
  <si>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</si>
  <si>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</si>
  <si>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</si>
  <si>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</si>
  <si>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</si>
  <si>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</si>
  <si>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</si>
  <si>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</si>
  <si>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</si>
  <si>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</si>
  <si>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</si>
  <si>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</si>
  <si>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</si>
  <si>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</si>
  <si>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</si>
  <si>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</si>
  <si>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</si>
  <si>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</si>
  <si>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</si>
  <si>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</si>
  <si>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</si>
  <si>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</si>
  <si>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</si>
  <si>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</si>
  <si>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</si>
  <si>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</si>
  <si>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</si>
  <si>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</si>
  <si>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</si>
  <si>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</si>
  <si>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</si>
  <si>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</si>
  <si>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</si>
  <si>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</si>
  <si>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</si>
  <si>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</si>
  <si>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</si>
  <si>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</si>
  <si>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</si>
  <si>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</si>
  <si>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</si>
  <si>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</si>
  <si>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</si>
  <si>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</si>
  <si>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</si>
  <si>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</si>
  <si>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</si>
  <si>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</si>
  <si>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</si>
  <si>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</si>
  <si>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</si>
  <si>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</si>
  <si>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</si>
  <si>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</si>
  <si>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</si>
  <si>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</si>
  <si>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</si>
  <si>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</si>
  <si>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</si>
  <si>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</si>
  <si>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</si>
  <si>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</si>
  <si>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</si>
  <si>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</si>
  <si>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</si>
  <si>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</si>
  <si>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</si>
  <si>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</si>
  <si>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</si>
  <si>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</si>
  <si>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</si>
  <si>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</si>
  <si>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</si>
  <si>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</si>
  <si>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</si>
  <si>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</si>
  <si>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</si>
  <si>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</si>
  <si>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</si>
  <si>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</si>
  <si>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</si>
  <si>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</si>
  <si>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</si>
  <si>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</si>
  <si>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</si>
  <si>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</si>
  <si>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</si>
  <si>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</si>
  <si>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</si>
  <si>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</si>
  <si>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</si>
  <si>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</si>
  <si>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</si>
  <si>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</si>
  <si>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</si>
  <si>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</si>
  <si>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</si>
  <si>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</si>
  <si>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</si>
  <si>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</si>
  <si>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</si>
  <si>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</si>
  <si>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</si>
  <si>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</si>
  <si>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</si>
  <si>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</si>
  <si>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</si>
  <si>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</si>
  <si>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</si>
  <si>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</si>
  <si>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</si>
  <si>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</si>
  <si>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</si>
  <si>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</si>
  <si>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</si>
  <si>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</si>
  <si>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</si>
  <si>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</si>
  <si>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</si>
  <si>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</si>
  <si>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</si>
  <si>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</si>
  <si>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</si>
  <si>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</si>
  <si>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</si>
  <si>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</si>
  <si>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</si>
  <si>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</si>
  <si>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</si>
  <si>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</si>
  <si>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</si>
  <si>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</si>
  <si>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</si>
  <si>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</si>
  <si>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</si>
  <si>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</si>
  <si>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</si>
  <si>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</si>
  <si>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</si>
  <si>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</si>
  <si>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</si>
  <si>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</si>
  <si>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</si>
  <si>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</si>
  <si>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</si>
  <si>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</si>
  <si>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</si>
  <si>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</si>
  <si>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</si>
  <si>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</si>
  <si>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</si>
  <si>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</si>
  <si>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</si>
  <si>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</si>
  <si>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</si>
  <si>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</si>
  <si>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</si>
  <si>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</si>
  <si>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</si>
  <si>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</si>
  <si>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</si>
  <si>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</si>
  <si>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</si>
  <si>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</si>
  <si>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</si>
  <si>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</si>
  <si>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</si>
  <si>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</si>
  <si>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</si>
  <si>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</si>
  <si>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</si>
  <si>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</si>
  <si>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</si>
  <si>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</si>
  <si>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</si>
  <si>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</si>
  <si>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</si>
  <si>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</si>
  <si>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</si>
  <si>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</si>
  <si>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</si>
  <si>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</si>
  <si>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</si>
  <si>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</si>
  <si>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</si>
  <si>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</si>
  <si>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</si>
  <si>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</si>
  <si>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</si>
  <si>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</si>
  <si>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</si>
  <si>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</si>
  <si>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</si>
  <si>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</si>
  <si>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</si>
  <si>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</si>
  <si>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</si>
  <si>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</si>
  <si>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</si>
  <si>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</si>
  <si>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</si>
  <si>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</si>
  <si>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</si>
  <si>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</si>
  <si>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</si>
  <si>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</si>
  <si>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</si>
  <si>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</si>
  <si>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</si>
  <si>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</si>
  <si>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</si>
  <si>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</si>
  <si>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</si>
  <si>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</si>
  <si>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</si>
  <si>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</si>
  <si>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</si>
  <si>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</si>
  <si>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</si>
  <si>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</si>
  <si>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</si>
  <si>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</si>
  <si>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</si>
  <si>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</si>
  <si>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</si>
  <si>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</si>
  <si>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</si>
  <si>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</si>
  <si>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</si>
  <si>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</si>
  <si>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</si>
  <si>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</si>
  <si>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</si>
  <si>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</si>
  <si>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</si>
  <si>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</si>
  <si>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</si>
  <si>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</si>
  <si>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</si>
  <si>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</si>
  <si>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</si>
  <si>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</si>
  <si>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</si>
  <si>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</si>
  <si>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</si>
  <si>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</si>
  <si>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</si>
  <si>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</si>
  <si>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</si>
  <si>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</si>
  <si>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</si>
  <si>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</si>
  <si>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</si>
  <si>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</si>
  <si>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</si>
  <si>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</si>
  <si>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</si>
  <si>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</si>
  <si>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</si>
  <si>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</si>
  <si>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</si>
  <si>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</si>
  <si>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</si>
  <si>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</si>
  <si>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</si>
  <si>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</si>
  <si>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</si>
  <si>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</si>
  <si>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</si>
  <si>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</si>
  <si>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</si>
  <si>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</si>
  <si>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</si>
  <si>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</si>
  <si>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</si>
  <si>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</si>
  <si>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</si>
  <si>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</si>
  <si>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</si>
  <si>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</si>
  <si>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</si>
  <si>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</si>
  <si>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</si>
  <si>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</si>
  <si>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</si>
  <si>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</si>
  <si>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</si>
  <si>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</si>
  <si>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</si>
  <si>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</si>
  <si>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</si>
  <si>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</si>
  <si>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</si>
  <si>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</si>
  <si>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</si>
  <si>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</si>
  <si>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</si>
  <si>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</si>
  <si>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</si>
  <si>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</si>
  <si>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</si>
  <si>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</si>
  <si>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</si>
  <si>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</si>
  <si>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</si>
  <si>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</si>
  <si>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</si>
  <si>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</si>
  <si>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</si>
  <si>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</si>
  <si>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</si>
  <si>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</si>
  <si>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</si>
  <si>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</si>
  <si>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</si>
  <si>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</si>
  <si>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</si>
  <si>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</si>
  <si>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</si>
  <si>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</si>
  <si>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</si>
  <si>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</si>
  <si>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</si>
  <si>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</si>
  <si>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</si>
  <si>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</si>
  <si>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</si>
  <si>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</si>
  <si>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</si>
  <si>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</si>
  <si>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</si>
  <si>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</si>
  <si>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</si>
  <si>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</si>
  <si>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</si>
  <si>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</si>
  <si>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</si>
  <si>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</si>
  <si>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</si>
  <si>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</si>
  <si>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</si>
  <si>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</si>
  <si>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</si>
  <si>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</si>
  <si>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</si>
  <si>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</si>
  <si>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</si>
  <si>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</si>
  <si>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</si>
  <si>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</si>
  <si>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</si>
  <si>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</si>
  <si>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</si>
  <si>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</si>
  <si>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</si>
  <si>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</si>
  <si>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</si>
  <si>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</si>
  <si>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</si>
  <si>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</si>
  <si>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</si>
  <si>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</si>
  <si>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</si>
  <si>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</si>
  <si>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</si>
  <si>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</si>
  <si>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</si>
  <si>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</si>
  <si>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</si>
  <si>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</si>
  <si>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</si>
  <si>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</si>
  <si>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</si>
  <si>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</si>
  <si>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</si>
  <si>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</si>
  <si>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</si>
  <si>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</si>
  <si>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</si>
  <si>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</si>
  <si>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</si>
  <si>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</si>
  <si>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</si>
  <si>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</si>
  <si>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</si>
  <si>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</si>
  <si>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</si>
  <si>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</si>
  <si>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</si>
  <si>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</si>
  <si>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</si>
  <si>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</si>
  <si>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</si>
  <si>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</si>
  <si>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</si>
  <si>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</si>
  <si>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</si>
  <si>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</si>
  <si>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</si>
  <si>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</si>
  <si>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</si>
  <si>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</si>
  <si>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</si>
  <si>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</si>
  <si>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</si>
  <si>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</si>
  <si>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</si>
  <si>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</si>
  <si>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</si>
  <si>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</si>
  <si>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</si>
  <si>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</si>
  <si>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</si>
  <si>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</si>
  <si>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</si>
  <si>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</si>
  <si>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</si>
  <si>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</si>
  <si>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</si>
  <si>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</si>
  <si>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</si>
  <si>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</si>
  <si>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</si>
  <si>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</si>
  <si>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</si>
  <si>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</si>
  <si>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</si>
  <si>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</si>
  <si>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</si>
  <si>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</si>
  <si>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</si>
  <si>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</si>
  <si>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</si>
  <si>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</si>
  <si>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</si>
  <si>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</si>
  <si>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</si>
  <si>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</si>
  <si>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</si>
  <si>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</si>
  <si>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</si>
  <si>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</si>
  <si>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</si>
  <si>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</si>
  <si>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</si>
  <si>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</si>
  <si>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</si>
  <si>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</si>
  <si>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</si>
  <si>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</si>
  <si>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</si>
  <si>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</si>
  <si>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</si>
  <si>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</si>
  <si>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</si>
  <si>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</si>
  <si>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</si>
  <si>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</si>
  <si>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</si>
  <si>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</si>
  <si>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</si>
  <si>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</si>
  <si>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</si>
  <si>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</si>
  <si>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</si>
  <si>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</si>
  <si>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</si>
  <si>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</si>
  <si>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</si>
  <si>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</si>
  <si>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</si>
  <si>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</si>
  <si>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</si>
  <si>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</si>
  <si>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</si>
  <si>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</si>
  <si>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</si>
  <si>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</si>
  <si>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</si>
  <si>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</si>
  <si>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</si>
  <si>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</si>
  <si>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</si>
  <si>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</si>
  <si>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</si>
  <si>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</si>
  <si>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</si>
  <si>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</si>
  <si>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</si>
  <si>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</si>
  <si>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</si>
  <si>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</si>
  <si>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</si>
  <si>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</si>
  <si>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</si>
  <si>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</si>
  <si>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</si>
  <si>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</si>
  <si>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</si>
  <si>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</si>
  <si>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</si>
  <si>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</si>
  <si>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</si>
  <si>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</si>
  <si>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</si>
  <si>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</si>
  <si>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</si>
  <si>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</si>
  <si>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</si>
  <si>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</si>
  <si>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</si>
  <si>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</si>
  <si>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</si>
  <si>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</si>
  <si>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</si>
  <si>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</si>
  <si>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</si>
  <si>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</si>
  <si>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</si>
  <si>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</si>
  <si>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</si>
  <si>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</si>
  <si>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</si>
  <si>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</si>
  <si>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</si>
  <si>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</si>
  <si>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</si>
  <si>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</si>
  <si>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</si>
  <si>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</si>
  <si>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</si>
  <si>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</si>
  <si>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</si>
  <si>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</si>
  <si>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</si>
  <si>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</si>
  <si>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</si>
  <si>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</si>
  <si>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</si>
  <si>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</si>
  <si>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</si>
  <si>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</si>
  <si>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</si>
  <si>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</si>
  <si>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</si>
  <si>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</si>
  <si>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</si>
  <si>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</si>
  <si>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</si>
  <si>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</si>
  <si>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</si>
  <si>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</si>
  <si>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</si>
  <si>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</si>
  <si>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</si>
  <si>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</si>
  <si>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</si>
  <si>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</si>
  <si>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</si>
  <si>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</si>
  <si>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</si>
  <si>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</si>
  <si>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</si>
  <si>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</si>
  <si>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</si>
  <si>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</si>
  <si>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</si>
  <si>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</si>
  <si>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</si>
  <si>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</si>
  <si>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</si>
  <si>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</si>
  <si>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</si>
  <si>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</si>
  <si>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</si>
  <si>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</si>
  <si>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</si>
  <si>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</si>
  <si>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</si>
  <si>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</si>
  <si>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</si>
  <si>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</si>
  <si>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</si>
  <si>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</si>
  <si>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</si>
  <si>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</si>
  <si>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</si>
  <si>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</si>
  <si>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</si>
  <si>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</si>
  <si>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</si>
  <si>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</si>
  <si>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</si>
  <si>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</si>
  <si>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</si>
  <si>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</si>
  <si>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</si>
  <si>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</si>
  <si>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</si>
  <si>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</si>
  <si>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</si>
  <si>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</si>
  <si>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</si>
  <si>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</si>
  <si>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</si>
  <si>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</si>
  <si>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</si>
  <si>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</si>
  <si>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</si>
  <si>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</si>
  <si>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</si>
  <si>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</si>
  <si>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</si>
  <si>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</si>
  <si>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</si>
  <si>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</si>
  <si>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</si>
  <si>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</si>
  <si>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</si>
  <si>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</si>
  <si>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</si>
  <si>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</si>
  <si>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</si>
  <si>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</si>
  <si>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</si>
  <si>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</si>
  <si>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</si>
  <si>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</si>
  <si>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</si>
  <si>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</si>
  <si>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</si>
  <si>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</si>
  <si>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</si>
  <si>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</si>
  <si>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</si>
  <si>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</si>
  <si>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</si>
  <si>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</si>
  <si>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</si>
  <si>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</si>
  <si>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</si>
  <si>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</si>
  <si>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</si>
  <si>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</si>
  <si>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</si>
  <si>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</si>
  <si>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</si>
  <si>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</si>
  <si>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</si>
  <si>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</si>
  <si>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</si>
  <si>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</si>
  <si>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</si>
  <si>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</si>
  <si>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</si>
  <si>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</si>
  <si>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</si>
  <si>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</si>
  <si>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</si>
  <si>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</si>
  <si>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</si>
  <si>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</si>
  <si>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</si>
  <si>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</si>
  <si>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</si>
  <si>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</si>
  <si>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</si>
  <si>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</si>
  <si>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</si>
  <si>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</si>
  <si>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</si>
  <si>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</si>
  <si>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</si>
  <si>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</si>
  <si>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</si>
  <si>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</si>
  <si>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</si>
  <si>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</si>
  <si>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</si>
  <si>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</si>
  <si>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</si>
  <si>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</si>
  <si>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</si>
  <si>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</si>
  <si>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</si>
  <si>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</si>
  <si>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</si>
  <si>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</si>
  <si>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</si>
  <si>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</si>
  <si>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</si>
  <si>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</si>
  <si>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</si>
  <si>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</si>
  <si>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</si>
  <si>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</si>
  <si>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</si>
  <si>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</si>
  <si>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</si>
  <si>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</si>
  <si>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</si>
  <si>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</si>
  <si>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</si>
  <si>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</si>
  <si>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</si>
  <si>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</si>
  <si>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</si>
  <si>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</si>
  <si>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</si>
  <si>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</si>
  <si>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</si>
  <si>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</si>
  <si>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</si>
  <si>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</si>
  <si>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</si>
  <si>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</si>
  <si>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</si>
  <si>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</si>
  <si>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</si>
  <si>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</si>
  <si>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</si>
  <si>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</si>
  <si>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</si>
  <si>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</si>
  <si>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</si>
  <si>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</si>
  <si>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</si>
  <si>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</si>
  <si>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</si>
  <si>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</si>
  <si>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</si>
  <si>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</si>
  <si>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</si>
  <si>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</si>
  <si>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</si>
  <si>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</si>
  <si>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</si>
  <si>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</si>
  <si>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</si>
  <si>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</si>
  <si>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</si>
  <si>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</si>
  <si>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</si>
  <si>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</si>
  <si>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</si>
  <si>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</si>
  <si>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</si>
  <si>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</si>
  <si>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</si>
  <si>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</si>
  <si>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</si>
  <si>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</si>
  <si>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</si>
  <si>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</si>
  <si>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</si>
  <si>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</si>
  <si>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</si>
  <si>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</si>
  <si>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</si>
  <si>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</si>
  <si>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</si>
  <si>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</si>
  <si>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</si>
  <si>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</si>
  <si>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</si>
  <si>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</si>
  <si>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</si>
  <si>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</si>
  <si>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</si>
  <si>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</si>
  <si>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</si>
  <si>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</si>
  <si>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</si>
  <si>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</si>
  <si>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</si>
  <si>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</si>
  <si>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</si>
  <si>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</si>
  <si>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</si>
  <si>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</si>
  <si>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</si>
  <si>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</si>
  <si>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</si>
  <si>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</si>
  <si>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</si>
  <si>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</si>
  <si>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</si>
  <si>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</si>
  <si>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</si>
  <si>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</si>
  <si>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</si>
  <si>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</si>
  <si>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</si>
  <si>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</si>
  <si>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</si>
  <si>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</si>
  <si>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</si>
  <si>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</si>
  <si>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</si>
  <si>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</si>
  <si>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</si>
  <si>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</si>
  <si>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</si>
  <si>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</si>
  <si>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</si>
  <si>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</si>
  <si>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</si>
  <si>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</si>
  <si>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</si>
  <si>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</si>
  <si>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</si>
  <si>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</si>
  <si>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</si>
  <si>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</si>
  <si>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</si>
  <si>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</si>
  <si>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</si>
  <si>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</si>
  <si>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</si>
  <si>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</si>
  <si>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</si>
  <si>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</si>
  <si>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</si>
  <si>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</si>
  <si>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</si>
  <si>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</si>
  <si>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</si>
  <si>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</si>
  <si>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</si>
  <si>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</si>
  <si>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</si>
  <si>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</si>
  <si>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</si>
  <si>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</si>
  <si>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</si>
  <si>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</si>
  <si>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</si>
  <si>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</si>
  <si>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</si>
  <si>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</si>
  <si>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</si>
  <si>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</si>
  <si>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</si>
  <si>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</si>
  <si>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</si>
  <si>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</si>
  <si>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</si>
  <si>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</si>
  <si>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</si>
  <si>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</si>
  <si>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</si>
  <si>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</si>
  <si>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</si>
  <si>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</si>
  <si>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</si>
  <si>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</si>
  <si>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</si>
  <si>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</si>
  <si>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</si>
  <si>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</si>
  <si>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</si>
  <si>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</si>
  <si>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</si>
  <si>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</si>
  <si>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</si>
  <si>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</si>
  <si>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</si>
  <si>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</si>
  <si>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</si>
  <si>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</si>
  <si>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</si>
  <si>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</si>
  <si>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</si>
  <si>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</si>
  <si>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</si>
  <si>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</si>
  <si>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</si>
  <si>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</si>
  <si>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</si>
  <si>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</si>
  <si>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</si>
  <si>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</si>
  <si>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</si>
  <si>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</si>
  <si>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</si>
  <si>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</si>
  <si>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</si>
  <si>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</si>
  <si>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</si>
  <si>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</si>
  <si>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</si>
  <si>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</si>
  <si>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</si>
  <si>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</si>
  <si>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</si>
  <si>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</si>
  <si>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</si>
  <si>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</si>
  <si>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</si>
  <si>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</si>
  <si>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</si>
  <si>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</si>
  <si>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</si>
  <si>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</si>
  <si>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</si>
  <si>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</si>
  <si>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</si>
  <si>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</si>
  <si>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</si>
  <si>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</si>
  <si>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</si>
  <si>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</si>
  <si>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</si>
  <si>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</si>
  <si>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</si>
  <si>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</si>
  <si>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</si>
  <si>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</si>
  <si>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</si>
  <si>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</si>
  <si>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</si>
  <si>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</si>
  <si>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</si>
  <si>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</si>
  <si>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</si>
  <si>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</si>
  <si>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</si>
  <si>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</si>
  <si>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</si>
  <si>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</si>
  <si>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</si>
  <si>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</si>
  <si>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</si>
  <si>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</si>
  <si>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</si>
  <si>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</si>
  <si>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</si>
  <si>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</si>
  <si>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</si>
  <si>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</si>
  <si>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</si>
  <si>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</si>
  <si>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</si>
  <si>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</si>
  <si>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</si>
  <si>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</si>
  <si>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</si>
  <si>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</si>
  <si>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</si>
  <si>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</si>
  <si>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</si>
  <si>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</si>
  <si>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</si>
  <si>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</si>
  <si>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</si>
  <si>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</si>
  <si>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</si>
  <si>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</si>
  <si>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</si>
  <si>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</si>
  <si>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</si>
  <si>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</si>
  <si>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</si>
  <si>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</si>
  <si>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</si>
  <si>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</si>
  <si>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</si>
  <si>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</si>
  <si>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</si>
  <si>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</si>
  <si>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</si>
  <si>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</si>
  <si>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</si>
  <si>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</si>
  <si>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</si>
  <si>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</si>
  <si>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</si>
  <si>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</si>
  <si>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</si>
  <si>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</si>
  <si>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</si>
  <si>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</si>
  <si>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</si>
  <si>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</si>
  <si>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</si>
  <si>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</si>
  <si>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</si>
  <si>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</si>
  <si>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</si>
  <si>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</si>
  <si>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</si>
  <si>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</si>
  <si>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</si>
  <si>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</si>
  <si>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</si>
  <si>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</si>
  <si>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</si>
  <si>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</si>
  <si>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</si>
  <si>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</si>
  <si>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</si>
  <si>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</si>
  <si>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</si>
  <si>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</si>
  <si>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</si>
  <si>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</si>
  <si>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</si>
  <si>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</si>
  <si>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</si>
  <si>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</si>
  <si>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</si>
  <si>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</si>
  <si>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</si>
  <si>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</si>
  <si>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</si>
  <si>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</si>
  <si>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</si>
  <si>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</si>
  <si>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</si>
  <si>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</si>
  <si>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</si>
  <si>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</si>
  <si>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</si>
  <si>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</si>
  <si>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</si>
  <si>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</si>
  <si>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</si>
  <si>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</si>
  <si>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</si>
  <si>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</si>
  <si>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</si>
  <si>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</si>
  <si>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</si>
  <si>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</si>
  <si>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</si>
  <si>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</si>
  <si>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</si>
  <si>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</si>
  <si>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</si>
  <si>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</si>
  <si>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</si>
  <si>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</si>
  <si>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</si>
  <si>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</si>
  <si>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</si>
  <si>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</si>
  <si>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</si>
  <si>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</si>
  <si>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</si>
  <si>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</si>
  <si>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</si>
  <si>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</si>
  <si>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</si>
  <si>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</si>
  <si>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</si>
  <si>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</si>
  <si>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</si>
  <si>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</si>
  <si>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</si>
  <si>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</si>
  <si>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</si>
  <si>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</si>
  <si>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</si>
  <si>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</si>
  <si>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</si>
  <si>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</si>
  <si>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</si>
  <si>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</si>
  <si>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</si>
  <si>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</si>
  <si>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</si>
  <si>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</si>
  <si>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</si>
  <si>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</si>
  <si>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</si>
  <si>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</si>
  <si>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</si>
  <si>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</si>
  <si>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</si>
  <si>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</si>
  <si>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</si>
  <si>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</si>
  <si>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</si>
  <si>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</si>
  <si>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</si>
  <si>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</si>
  <si>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</si>
  <si>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</si>
  <si>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</si>
  <si>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</si>
  <si>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</si>
  <si>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</si>
  <si>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</si>
  <si>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</si>
  <si>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</si>
  <si>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</si>
  <si>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</si>
  <si>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</si>
  <si>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</si>
  <si>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</si>
  <si>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</si>
  <si>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</si>
  <si>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</si>
  <si>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</si>
  <si>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</si>
  <si>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</si>
  <si>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</si>
  <si>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</si>
  <si>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</si>
  <si>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</si>
  <si>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</si>
  <si>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</si>
  <si>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</si>
  <si>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</si>
  <si>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</si>
  <si>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</si>
  <si>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</si>
  <si>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</si>
  <si>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</si>
  <si>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</si>
  <si>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</si>
  <si>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</si>
  <si>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</si>
  <si>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</si>
  <si>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</si>
  <si>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</si>
  <si>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</si>
  <si>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</si>
  <si>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</si>
  <si>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</si>
  <si>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</si>
  <si>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</si>
  <si>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</si>
  <si>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</si>
  <si>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</si>
  <si>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</si>
  <si>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</si>
  <si>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</si>
  <si>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</si>
  <si>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</si>
  <si>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</si>
  <si>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</si>
  <si>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</si>
  <si>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</si>
  <si>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</si>
  <si>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</si>
  <si>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</si>
  <si>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</si>
  <si>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</si>
  <si>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</si>
  <si>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</si>
  <si>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</si>
  <si>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</si>
  <si>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</si>
  <si>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</si>
  <si>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</si>
  <si>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</si>
  <si>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</si>
  <si>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</si>
  <si>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</si>
  <si>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</si>
  <si>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</si>
  <si>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</si>
  <si>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</si>
  <si>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</si>
  <si>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</si>
  <si>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</si>
  <si>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</si>
  <si>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</si>
  <si>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</si>
  <si>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</si>
  <si>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</si>
  <si>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</si>
  <si>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</si>
  <si>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</si>
  <si>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</si>
  <si>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</si>
  <si>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</si>
  <si>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</si>
  <si>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</si>
  <si>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</si>
  <si>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</si>
  <si>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</si>
  <si>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</si>
  <si>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</si>
  <si>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</si>
  <si>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</si>
  <si>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</si>
  <si>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</si>
  <si>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</si>
  <si>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</si>
  <si>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</si>
  <si>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</si>
  <si>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</si>
  <si>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</si>
  <si>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</si>
  <si>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</si>
  <si>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</si>
  <si>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</si>
  <si>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</si>
  <si>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</si>
  <si>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</si>
  <si>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</si>
  <si>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</si>
  <si>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</si>
  <si>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</si>
  <si>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</si>
  <si>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</si>
  <si>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</si>
  <si>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</si>
  <si>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</si>
  <si>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</si>
  <si>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</si>
  <si>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</si>
  <si>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</si>
  <si>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</si>
  <si>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</si>
  <si>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</si>
  <si>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</si>
  <si>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</si>
  <si>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</si>
  <si>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</si>
  <si>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</si>
  <si>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</si>
  <si>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</si>
  <si>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</si>
  <si>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</si>
  <si>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</si>
  <si>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</si>
  <si>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</si>
  <si>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</si>
  <si>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</si>
  <si>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</si>
  <si>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</si>
  <si>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</si>
  <si>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</si>
  <si>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</si>
  <si>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</si>
  <si>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</si>
  <si>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</si>
  <si>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</si>
  <si>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</si>
  <si>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</si>
  <si>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</si>
  <si>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</si>
  <si>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</si>
  <si>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</si>
  <si>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</si>
  <si>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</si>
  <si>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</si>
  <si>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</si>
  <si>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</si>
  <si>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</si>
  <si>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</si>
  <si>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</si>
  <si>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</si>
  <si>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</si>
  <si>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</si>
  <si>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</si>
  <si>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</si>
  <si>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</si>
  <si>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</si>
  <si>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</si>
  <si>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</si>
  <si>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</si>
  <si>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</si>
  <si>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</si>
  <si>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</si>
  <si>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</si>
  <si>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</si>
  <si>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</si>
  <si>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</si>
  <si>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</si>
  <si>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</si>
  <si>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</si>
  <si>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</si>
  <si>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</si>
  <si>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</si>
  <si>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</si>
  <si>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</si>
  <si>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</si>
  <si>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</si>
  <si>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</si>
  <si>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</si>
  <si>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</si>
  <si>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</si>
  <si>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</si>
  <si>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</si>
  <si>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</si>
  <si>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</si>
  <si>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</si>
  <si>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</si>
  <si>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</si>
  <si>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</si>
  <si>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</si>
  <si>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</si>
  <si>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</si>
  <si>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</si>
  <si>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</si>
  <si>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</si>
  <si>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</si>
  <si>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</si>
  <si>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</si>
  <si>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</si>
  <si>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</si>
  <si>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</si>
  <si>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</si>
  <si>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</si>
  <si>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</si>
  <si>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</si>
  <si>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</si>
  <si>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</si>
  <si>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</si>
  <si>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</si>
  <si>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</si>
  <si>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</si>
  <si>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</si>
  <si>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</si>
  <si>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</si>
  <si>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</si>
  <si>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</si>
  <si>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</si>
  <si>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</si>
  <si>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</si>
  <si>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</si>
  <si>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</si>
  <si>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</si>
  <si>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</si>
  <si>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</si>
  <si>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</si>
  <si>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</si>
  <si>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</si>
  <si>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</si>
  <si>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</si>
  <si>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</si>
  <si>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</si>
  <si>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</si>
  <si>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</si>
  <si>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</si>
  <si>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</si>
  <si>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</si>
  <si>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</si>
  <si>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</si>
  <si>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</si>
  <si>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</si>
  <si>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</si>
  <si>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</si>
  <si>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</si>
  <si>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</si>
  <si>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</si>
  <si>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</si>
  <si>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</si>
  <si>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</si>
  <si>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</si>
  <si>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</si>
  <si>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</si>
  <si>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</si>
  <si>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</si>
  <si>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</si>
  <si>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</si>
  <si>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</si>
  <si>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</si>
  <si>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</si>
  <si>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</si>
  <si>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</si>
  <si>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</si>
  <si>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</si>
  <si>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</si>
  <si>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</si>
  <si>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</si>
  <si>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</si>
  <si>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</si>
  <si>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</si>
  <si>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</si>
  <si>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</si>
  <si>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</si>
  <si>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</si>
  <si>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</si>
  <si>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</si>
  <si>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</si>
  <si>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</si>
  <si>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</si>
  <si>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</si>
  <si>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</si>
  <si>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</si>
  <si>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</si>
  <si>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</si>
  <si>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</si>
  <si>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</si>
  <si>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</si>
  <si>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</si>
  <si>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</si>
  <si>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</si>
  <si>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</si>
  <si>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</si>
  <si>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</si>
  <si>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</si>
  <si>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</si>
  <si>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</si>
  <si>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</si>
  <si>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</si>
  <si>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</si>
  <si>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</si>
  <si>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</si>
  <si>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</si>
  <si>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</si>
  <si>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</si>
  <si>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</si>
  <si>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</si>
  <si>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</si>
  <si>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</si>
  <si>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</si>
  <si>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</si>
  <si>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</si>
  <si>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</si>
  <si>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</si>
  <si>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</si>
  <si>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</si>
  <si>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</si>
  <si>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</si>
  <si>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</si>
  <si>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</si>
  <si>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</si>
  <si>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</si>
  <si>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</si>
  <si>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</si>
  <si>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</si>
  <si>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</si>
  <si>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</si>
  <si>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</si>
  <si>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</si>
  <si>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</si>
  <si>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</si>
  <si>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</si>
  <si>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</si>
  <si>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</si>
  <si>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</si>
  <si>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</si>
  <si>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</si>
  <si>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</si>
  <si>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</si>
  <si>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</si>
  <si>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</si>
  <si>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</si>
  <si>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</si>
  <si>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</si>
  <si>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</si>
  <si>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</si>
  <si>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</si>
  <si>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</si>
  <si>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</si>
  <si>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</si>
  <si>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</si>
  <si>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</si>
  <si>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</si>
  <si>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</si>
  <si>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</si>
  <si>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</si>
  <si>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</si>
  <si>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</si>
  <si>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</si>
  <si>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</si>
  <si>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</si>
  <si>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</si>
  <si>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</si>
  <si>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</si>
  <si>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</si>
  <si>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</si>
  <si>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</si>
  <si>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</si>
  <si>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</si>
  <si>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</si>
  <si>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</si>
  <si>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</si>
  <si>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</si>
  <si>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</si>
  <si>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</si>
  <si>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</si>
  <si>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</si>
  <si>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</si>
  <si>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</si>
  <si>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</si>
  <si>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</si>
  <si>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</si>
  <si>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</si>
  <si>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</si>
  <si>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</si>
  <si>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</si>
  <si>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</si>
  <si>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</si>
  <si>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</si>
  <si>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</si>
  <si>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</si>
  <si>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</si>
  <si>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</si>
  <si>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</si>
  <si>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</si>
  <si>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</si>
  <si>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</si>
  <si>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</si>
  <si>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</si>
  <si>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</si>
  <si>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</si>
  <si>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</si>
  <si>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</si>
  <si>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</si>
  <si>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</si>
  <si>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</si>
  <si>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</si>
  <si>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</si>
  <si>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</si>
  <si>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</si>
  <si>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</si>
  <si>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</si>
  <si>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</si>
  <si>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</si>
  <si>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</si>
  <si>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</si>
  <si>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</si>
  <si>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</si>
  <si>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</si>
  <si>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</si>
  <si>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</si>
  <si>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</si>
  <si>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</si>
  <si>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</si>
  <si>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</si>
  <si>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</si>
  <si>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</si>
  <si>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</si>
  <si>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</si>
  <si>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</si>
  <si>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</si>
  <si>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</si>
  <si>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</si>
  <si>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</si>
  <si>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</si>
  <si>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</si>
  <si>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</si>
  <si>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</si>
  <si>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</si>
  <si>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</si>
  <si>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</si>
  <si>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</si>
  <si>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</si>
  <si>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</si>
  <si>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</si>
  <si>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</si>
  <si>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</si>
  <si>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</si>
  <si>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</si>
  <si>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</si>
  <si>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</si>
  <si>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</si>
  <si>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</si>
  <si>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</si>
  <si>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</si>
  <si>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</si>
  <si>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</si>
  <si>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</si>
  <si>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</si>
  <si>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</si>
  <si>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</si>
  <si>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</si>
  <si>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</si>
  <si>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</si>
  <si>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</si>
  <si>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</si>
  <si>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</si>
  <si>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</si>
  <si>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</si>
  <si>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</si>
  <si>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</si>
  <si>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</si>
  <si>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</si>
  <si>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</si>
  <si>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</si>
  <si>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</si>
  <si>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</si>
  <si>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</si>
  <si>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</si>
  <si>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</si>
  <si>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</si>
  <si>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</si>
  <si>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</si>
  <si>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</si>
  <si>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</si>
  <si>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</si>
  <si>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</si>
  <si>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</si>
  <si>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</si>
  <si>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</si>
  <si>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</si>
  <si>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</si>
  <si>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</si>
  <si>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</si>
  <si>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</si>
  <si>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</si>
  <si>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</si>
  <si>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</si>
  <si>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</si>
  <si>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</si>
  <si>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</si>
  <si>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</si>
  <si>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</si>
  <si>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</si>
  <si>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</si>
  <si>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</si>
  <si>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</si>
  <si>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</si>
  <si>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</si>
  <si>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</si>
  <si>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</si>
  <si>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</si>
  <si>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</si>
  <si>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</si>
  <si>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</si>
  <si>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</si>
  <si>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</si>
  <si>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</si>
  <si>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</si>
  <si>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</si>
  <si>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</si>
  <si>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</si>
  <si>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</si>
  <si>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</si>
  <si>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</si>
  <si>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</si>
  <si>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</si>
  <si>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</si>
  <si>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</si>
  <si>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</si>
  <si>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</si>
  <si>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</si>
  <si>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</si>
  <si>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</si>
  <si>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</si>
  <si>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</si>
  <si>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</si>
  <si>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</si>
  <si>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</si>
  <si>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</si>
  <si>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</si>
  <si>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</si>
  <si>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</si>
  <si>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</si>
  <si>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</si>
  <si>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</si>
  <si>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</si>
  <si>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</si>
  <si>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</si>
  <si>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</si>
  <si>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</si>
  <si>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</si>
  <si>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</si>
  <si>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</si>
  <si>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</si>
  <si>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</si>
  <si>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</si>
  <si>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</si>
  <si>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</si>
  <si>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</si>
  <si>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</si>
  <si>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</si>
  <si>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</si>
  <si>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</si>
  <si>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</si>
  <si>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</si>
  <si>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</si>
  <si>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</si>
  <si>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</si>
  <si>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</si>
  <si>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</si>
  <si>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</si>
  <si>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</si>
  <si>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</si>
  <si>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</si>
  <si>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</si>
  <si>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</si>
  <si>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</si>
  <si>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</si>
  <si>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</si>
  <si>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</si>
  <si>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</si>
  <si>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</si>
  <si>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</si>
  <si>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</si>
  <si>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</si>
  <si>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</si>
  <si>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</si>
  <si>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</si>
  <si>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</si>
  <si>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</si>
  <si>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</si>
  <si>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</si>
  <si>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</si>
  <si>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</si>
  <si>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</si>
  <si>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</si>
  <si>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</si>
  <si>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</si>
  <si>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</si>
  <si>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</si>
  <si>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</si>
  <si>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</si>
  <si>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</si>
  <si>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</si>
  <si>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</si>
  <si>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</si>
  <si>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</si>
  <si>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</si>
  <si>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</si>
  <si>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</si>
  <si>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</si>
  <si>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</si>
  <si>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</si>
  <si>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</si>
  <si>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</si>
  <si>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</si>
  <si>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</si>
  <si>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</si>
  <si>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</si>
  <si>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</si>
  <si>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</si>
  <si>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</si>
  <si>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</si>
  <si>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</si>
  <si>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</si>
  <si>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</si>
  <si>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</si>
  <si>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</si>
  <si>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</si>
  <si>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</si>
  <si>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</si>
  <si>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</si>
  <si>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</si>
  <si>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</si>
  <si>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</si>
  <si>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</si>
  <si>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</si>
  <si>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</si>
  <si>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</si>
  <si>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</si>
  <si>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</si>
  <si>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</si>
  <si>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</si>
  <si>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</si>
  <si>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</si>
  <si>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</si>
  <si>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</si>
  <si>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</si>
  <si>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</si>
  <si>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</si>
  <si>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</si>
  <si>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</si>
  <si>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</si>
  <si>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</si>
  <si>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</si>
  <si>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</si>
  <si>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</si>
  <si>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</si>
  <si>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</si>
  <si>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</si>
  <si>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</si>
  <si>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</si>
  <si>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</si>
  <si>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</si>
  <si>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</si>
  <si>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</si>
  <si>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</si>
  <si>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</si>
  <si>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</si>
  <si>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</si>
  <si>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</si>
  <si>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</si>
  <si>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</si>
  <si>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</si>
  <si>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</si>
  <si>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</si>
  <si>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</si>
  <si>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</si>
  <si>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</si>
  <si>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</si>
  <si>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</si>
  <si>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</si>
  <si>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</si>
  <si>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</si>
  <si>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</si>
  <si>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</si>
  <si>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</si>
  <si>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</si>
  <si>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</si>
  <si>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</si>
  <si>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</si>
  <si>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</si>
  <si>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</si>
  <si>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</si>
  <si>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</si>
  <si>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</si>
  <si>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</si>
  <si>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</si>
  <si>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</si>
  <si>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</si>
  <si>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</si>
  <si>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</si>
  <si>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</si>
  <si>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</si>
  <si>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</si>
  <si>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</si>
  <si>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</si>
  <si>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</si>
  <si>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</si>
  <si>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</si>
  <si>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</si>
  <si>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</si>
  <si>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</si>
  <si>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</si>
  <si>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</si>
  <si>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</si>
  <si>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</si>
  <si>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</si>
  <si>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</si>
  <si>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</si>
  <si>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</si>
  <si>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</si>
  <si>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</si>
  <si>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</si>
  <si>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</si>
  <si>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</si>
  <si>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</si>
  <si>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</si>
  <si>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</si>
  <si>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</si>
  <si>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</si>
  <si>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</si>
  <si>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</si>
  <si>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</si>
  <si>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</si>
  <si>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</si>
  <si>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</si>
  <si>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</si>
  <si>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</si>
  <si>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</si>
  <si>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</si>
  <si>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</si>
  <si>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</si>
  <si>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</si>
  <si>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</si>
  <si>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</si>
  <si>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</si>
  <si>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</si>
  <si>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</si>
  <si>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</si>
  <si>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</si>
  <si>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</si>
  <si>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</si>
  <si>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</si>
  <si>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</si>
  <si>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</si>
  <si>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</si>
  <si>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</si>
  <si>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</si>
  <si>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</si>
  <si>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</si>
  <si>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</si>
  <si>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</si>
  <si>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</si>
  <si>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</si>
  <si>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</si>
  <si>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</si>
  <si>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</si>
  <si>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</si>
  <si>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</si>
  <si>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</si>
  <si>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</si>
  <si>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</si>
  <si>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</si>
  <si>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</si>
  <si>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</si>
  <si>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</si>
  <si>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</si>
  <si>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</si>
  <si>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</si>
  <si>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</si>
  <si>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</si>
  <si>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</si>
  <si>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</si>
  <si>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</si>
  <si>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</si>
  <si>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</si>
  <si>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</si>
  <si>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</si>
  <si>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</si>
  <si>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</si>
  <si>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</si>
  <si>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</si>
  <si>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</si>
  <si>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</si>
  <si>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</si>
  <si>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</si>
  <si>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</si>
  <si>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</si>
  <si>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</si>
  <si>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</si>
  <si>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</si>
  <si>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</si>
  <si>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</si>
  <si>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</si>
  <si>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</si>
  <si>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</si>
  <si>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</si>
  <si>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</si>
  <si>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</si>
  <si>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</si>
  <si>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</si>
  <si>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</si>
  <si>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</si>
  <si>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</si>
  <si>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</si>
  <si>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</si>
  <si>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</si>
  <si>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</si>
  <si>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</si>
  <si>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</si>
  <si>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</si>
  <si>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</si>
  <si>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</si>
  <si>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</si>
  <si>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</si>
  <si>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</si>
  <si>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</si>
  <si>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</si>
  <si>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</si>
  <si>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</si>
  <si>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</si>
  <si>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</si>
  <si>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</si>
  <si>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</si>
  <si>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</si>
  <si>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</si>
  <si>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</si>
  <si>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</si>
  <si>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</si>
  <si>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</si>
  <si>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</si>
  <si>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</si>
  <si>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</si>
  <si>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</si>
  <si>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</si>
  <si>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</si>
  <si>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</si>
  <si>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</si>
  <si>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</si>
  <si>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</si>
  <si>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</si>
  <si>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</si>
  <si>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</si>
  <si>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</si>
  <si>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</si>
  <si>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</si>
  <si>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</si>
  <si>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</si>
  <si>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</si>
  <si>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</si>
  <si>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</si>
  <si>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</si>
  <si>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</si>
  <si>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</si>
  <si>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</si>
  <si>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</si>
  <si>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</si>
  <si>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</si>
  <si>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</si>
  <si>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</si>
  <si>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</si>
  <si>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</si>
  <si>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</si>
  <si>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</si>
  <si>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</si>
  <si>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</si>
  <si>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</si>
  <si>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</si>
  <si>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</si>
  <si>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</si>
  <si>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</si>
  <si>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</si>
  <si>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</si>
  <si>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</si>
  <si>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</si>
  <si>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</si>
  <si>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</si>
  <si>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</si>
  <si>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</si>
  <si>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</si>
  <si>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</si>
  <si>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</si>
  <si>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</si>
  <si>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</si>
  <si>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</si>
  <si>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</si>
  <si>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</si>
  <si>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</si>
  <si>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</si>
  <si>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</si>
  <si>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</si>
  <si>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</si>
  <si>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</si>
  <si>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</si>
  <si>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</si>
  <si>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</si>
  <si>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</si>
  <si>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</si>
  <si>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</si>
  <si>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</si>
  <si>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</si>
  <si>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</si>
  <si>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</si>
  <si>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</si>
  <si>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</si>
  <si>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</si>
  <si>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</si>
  <si>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</si>
  <si>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</si>
  <si>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</si>
  <si>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</si>
  <si>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</si>
  <si>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</si>
  <si>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</si>
  <si>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</si>
  <si>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</si>
  <si>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</si>
  <si>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</si>
  <si>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</si>
  <si>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</si>
  <si>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</si>
  <si>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</si>
  <si>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</si>
  <si>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</si>
  <si>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</si>
  <si>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</si>
  <si>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</si>
  <si>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</si>
  <si>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</si>
  <si>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</si>
  <si>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</si>
  <si>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</si>
  <si>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</si>
  <si>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</si>
  <si>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</si>
  <si>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</si>
  <si>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</si>
  <si>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</si>
  <si>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</si>
  <si>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</si>
  <si>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</si>
  <si>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</si>
  <si>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</si>
  <si>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</si>
  <si>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</si>
  <si>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</si>
  <si>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</si>
  <si>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</si>
  <si>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</si>
  <si>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</si>
  <si>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</si>
  <si>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</si>
  <si>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</si>
  <si>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</si>
  <si>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</si>
  <si>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</si>
  <si>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</si>
  <si>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</si>
  <si>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</si>
  <si>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</si>
  <si>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</si>
  <si>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</si>
  <si>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</si>
  <si>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</si>
  <si>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</si>
  <si>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</si>
  <si>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</si>
  <si>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</si>
  <si>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</si>
  <si>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</si>
  <si>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</si>
  <si>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</si>
  <si>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</si>
  <si>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</si>
  <si>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</si>
  <si>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</si>
  <si>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</si>
  <si>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</si>
  <si>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</si>
  <si>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</si>
  <si>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</si>
  <si>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</si>
  <si>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</si>
  <si>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</si>
  <si>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</si>
  <si>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</si>
  <si>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</si>
  <si>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</si>
  <si>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</si>
  <si>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</si>
  <si>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</si>
  <si>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</si>
  <si>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</si>
  <si>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</si>
  <si>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</si>
  <si>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</si>
  <si>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</si>
  <si>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</si>
  <si>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</si>
  <si>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</si>
  <si>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</si>
  <si>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</si>
  <si>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</si>
  <si>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</si>
  <si>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</si>
  <si>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</si>
  <si>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</si>
  <si>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</si>
  <si>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</si>
  <si>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</si>
  <si>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</si>
  <si>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</si>
  <si>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</si>
  <si>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</si>
  <si>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</si>
  <si>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</si>
  <si>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</si>
  <si>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</si>
  <si>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</si>
  <si>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</si>
  <si>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</si>
  <si>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</si>
  <si>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</si>
  <si>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</si>
  <si>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</si>
  <si>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</si>
  <si>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</si>
  <si>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</si>
  <si>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</si>
  <si>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</si>
  <si>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</si>
  <si>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</si>
  <si>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</si>
  <si>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</si>
  <si>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</si>
  <si>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</si>
  <si>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</si>
  <si>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</si>
  <si>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</si>
  <si>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</si>
  <si>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</si>
  <si>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</si>
  <si>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</si>
  <si>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</si>
  <si>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</si>
  <si>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</si>
  <si>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</si>
  <si>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</si>
  <si>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</si>
  <si>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</si>
  <si>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</si>
  <si>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</si>
  <si>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</si>
  <si>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</si>
  <si>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</si>
  <si>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</si>
  <si>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</si>
  <si>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</si>
  <si>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</si>
  <si>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</si>
  <si>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</si>
  <si>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</si>
  <si>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</si>
  <si>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</si>
  <si>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</si>
  <si>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</si>
  <si>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</si>
  <si>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</si>
  <si>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</si>
  <si>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</si>
  <si>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</si>
  <si>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</si>
  <si>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</si>
  <si>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</si>
  <si>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</si>
  <si>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</si>
  <si>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</si>
  <si>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</si>
  <si>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</si>
  <si>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</si>
  <si>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</si>
  <si>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</si>
  <si>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</si>
  <si>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</si>
  <si>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</si>
  <si>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</si>
  <si>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</si>
  <si>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</si>
  <si>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</si>
  <si>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</si>
  <si>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</si>
  <si>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</si>
  <si>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</si>
  <si>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</si>
  <si>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</si>
  <si>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</si>
  <si>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</si>
  <si>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</si>
  <si>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</si>
  <si>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</si>
  <si>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</si>
  <si>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</si>
  <si>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</si>
  <si>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</si>
  <si>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</si>
  <si>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</si>
  <si>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</si>
  <si>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</si>
  <si>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</si>
  <si>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</si>
  <si>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</si>
  <si>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</si>
  <si>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</si>
  <si>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</si>
  <si>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</si>
  <si>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</si>
  <si>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</si>
  <si>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</si>
  <si>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</si>
  <si>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</si>
  <si>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</si>
  <si>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</si>
  <si>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</si>
  <si>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</si>
  <si>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</si>
  <si>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</si>
  <si>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</si>
  <si>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</si>
  <si>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</si>
  <si>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</si>
  <si>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</si>
  <si>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</si>
  <si>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</si>
  <si>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</si>
  <si>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</si>
  <si>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</si>
  <si>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</si>
  <si>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</si>
  <si>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</si>
  <si>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</si>
  <si>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</si>
  <si>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</si>
  <si>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</si>
  <si>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</si>
  <si>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</si>
  <si>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</si>
  <si>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</si>
  <si>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</si>
  <si>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</si>
  <si>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</si>
  <si>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</si>
  <si>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</si>
  <si>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</si>
  <si>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</si>
  <si>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</si>
  <si>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</si>
  <si>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</si>
  <si>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</si>
  <si>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</si>
  <si>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</si>
  <si>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</si>
  <si>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</si>
  <si>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</si>
  <si>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</si>
  <si>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</si>
  <si>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</si>
  <si>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</si>
  <si>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</si>
  <si>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</si>
  <si>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</si>
  <si>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</si>
  <si>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</si>
  <si>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</si>
  <si>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</si>
  <si>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</si>
  <si>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</si>
  <si>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</si>
  <si>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</si>
  <si>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</si>
  <si>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</si>
  <si>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</si>
  <si>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</si>
  <si>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</si>
  <si>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</si>
  <si>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</si>
  <si>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</si>
  <si>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</si>
  <si>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</si>
  <si>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</si>
  <si>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</si>
  <si>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</si>
  <si>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</si>
  <si>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</si>
  <si>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</si>
  <si>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</si>
  <si>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</si>
  <si>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</si>
  <si>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</si>
  <si>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</si>
  <si>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</si>
  <si>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</si>
  <si>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</si>
  <si>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</si>
  <si>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</si>
  <si>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</si>
  <si>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</si>
  <si>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</si>
  <si>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</si>
  <si>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</si>
  <si>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</si>
  <si>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</si>
  <si>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</si>
  <si>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</si>
  <si>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</si>
  <si>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</si>
  <si>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</si>
  <si>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</si>
  <si>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</si>
  <si>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</si>
  <si>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</si>
  <si>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</si>
  <si>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</si>
  <si>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</si>
  <si>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</si>
  <si>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</si>
  <si>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</si>
  <si>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</si>
  <si>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</si>
  <si>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</si>
  <si>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</si>
  <si>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</si>
  <si>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</si>
  <si>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</si>
  <si>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</si>
  <si>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</si>
  <si>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</si>
  <si>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</si>
  <si>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</si>
  <si>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</si>
  <si>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</si>
  <si>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</si>
  <si>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</si>
  <si>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</si>
  <si>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</si>
  <si>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</si>
  <si>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</si>
  <si>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</si>
  <si>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</si>
  <si>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</si>
  <si>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</si>
  <si>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</si>
  <si>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</si>
  <si>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</si>
  <si>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</si>
  <si>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</si>
  <si>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</si>
  <si>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</si>
  <si>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</si>
  <si>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</si>
  <si>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</si>
  <si>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</si>
  <si>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</si>
  <si>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</si>
  <si>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</si>
  <si>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</si>
  <si>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</si>
  <si>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</si>
  <si>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</si>
  <si>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</si>
  <si>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</si>
  <si>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</si>
  <si>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</si>
  <si>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</si>
  <si>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</si>
  <si>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</si>
  <si>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</si>
  <si>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</si>
  <si>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</si>
  <si>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</si>
  <si>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</si>
  <si>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</si>
  <si>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</si>
  <si>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</si>
  <si>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</si>
  <si>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</si>
  <si>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</si>
  <si>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</si>
  <si>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</si>
  <si>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</si>
  <si>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</si>
  <si>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</si>
  <si>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</si>
  <si>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</si>
  <si>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</si>
  <si>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</si>
  <si>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</si>
  <si>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</si>
  <si>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</si>
  <si>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</si>
  <si>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</si>
  <si>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</si>
  <si>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</si>
  <si>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</si>
  <si>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</si>
  <si>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</si>
  <si>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</si>
  <si>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</si>
  <si>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</si>
  <si>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</si>
  <si>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</si>
  <si>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</si>
  <si>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</si>
  <si>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</si>
  <si>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</si>
  <si>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</si>
  <si>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</si>
  <si>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</si>
  <si>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</si>
  <si>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</si>
  <si>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</si>
  <si>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</si>
  <si>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</si>
  <si>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</si>
  <si>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</si>
  <si>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</si>
  <si>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</si>
  <si>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</si>
  <si>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</si>
  <si>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</si>
  <si>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</si>
  <si>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</si>
  <si>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</si>
  <si>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</si>
  <si>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</si>
  <si>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</si>
  <si>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</si>
  <si>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</si>
  <si>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</si>
  <si>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</si>
  <si>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</si>
  <si>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</si>
  <si>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</si>
  <si>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</si>
  <si>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</si>
  <si>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</si>
  <si>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</si>
  <si>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</si>
  <si>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</si>
  <si>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</si>
  <si>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</si>
  <si>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</si>
  <si>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</si>
  <si>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</si>
  <si>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</si>
  <si>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</si>
  <si>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</si>
  <si>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</si>
  <si>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</si>
  <si>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</si>
  <si>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</si>
  <si>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</si>
  <si>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</si>
  <si>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</si>
  <si>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</si>
  <si>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</si>
  <si>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</si>
  <si>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</si>
  <si>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</si>
  <si>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</si>
  <si>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</si>
  <si>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</si>
  <si>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</si>
  <si>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</si>
  <si>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</si>
  <si>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</si>
  <si>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</si>
  <si>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</si>
  <si>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</si>
  <si>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</si>
  <si>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</si>
  <si>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</si>
  <si>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</si>
  <si>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</si>
  <si>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</si>
  <si>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</si>
  <si>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</si>
  <si>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</si>
  <si>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</si>
  <si>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</si>
  <si>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</si>
  <si>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</si>
  <si>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</si>
  <si>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</si>
  <si>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</si>
  <si>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</si>
  <si>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</si>
  <si>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</si>
  <si>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</si>
  <si>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</si>
  <si>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</si>
  <si>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</si>
  <si>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</si>
  <si>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</si>
  <si>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</si>
  <si>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</si>
  <si>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</si>
  <si>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</si>
  <si>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</si>
  <si>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</si>
  <si>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</si>
  <si>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</si>
  <si>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</si>
  <si>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</si>
  <si>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</si>
  <si>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</si>
  <si>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</si>
  <si>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</si>
  <si>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</si>
  <si>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</si>
  <si>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</si>
  <si>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</si>
  <si>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</si>
  <si>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</si>
  <si>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</si>
  <si>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</si>
  <si>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</si>
  <si>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</si>
  <si>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</si>
  <si>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</si>
  <si>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</si>
  <si>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</si>
  <si>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</si>
  <si>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</si>
  <si>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</si>
  <si>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</si>
  <si>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</si>
  <si>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</si>
  <si>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</si>
  <si>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</si>
  <si>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</si>
  <si>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</si>
  <si>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</si>
  <si>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</si>
  <si>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</si>
  <si>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</si>
  <si>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</si>
  <si>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</si>
  <si>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</si>
  <si>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</si>
  <si>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</si>
  <si>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</si>
  <si>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</si>
  <si>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</si>
  <si>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</si>
  <si>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</si>
  <si>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</si>
  <si>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</si>
  <si>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</si>
  <si>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</si>
  <si>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</si>
  <si>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</si>
  <si>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</si>
  <si>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</si>
  <si>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</si>
  <si>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</si>
  <si>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</si>
  <si>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</si>
  <si>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</si>
  <si>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</si>
  <si>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</si>
  <si>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</si>
  <si>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</si>
  <si>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</si>
  <si>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</si>
  <si>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</si>
  <si>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</si>
  <si>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</si>
  <si>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</si>
  <si>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</si>
  <si>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</si>
  <si>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</si>
  <si>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</si>
  <si>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</si>
  <si>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</si>
  <si>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</si>
  <si>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</si>
  <si>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</si>
  <si>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</si>
  <si>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</si>
  <si>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</si>
  <si>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</si>
  <si>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</si>
  <si>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</si>
  <si>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</si>
  <si>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</si>
  <si>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</si>
  <si>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</si>
  <si>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</si>
  <si>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</si>
  <si>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</si>
  <si>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</si>
  <si>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</si>
  <si>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</si>
  <si>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</si>
  <si>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</si>
  <si>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</si>
  <si>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</si>
  <si>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</si>
  <si>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</si>
  <si>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</si>
  <si>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</si>
  <si>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</si>
  <si>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</si>
  <si>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</si>
  <si>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</si>
  <si>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</si>
  <si>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</si>
  <si>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</si>
  <si>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</si>
  <si>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</si>
  <si>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</si>
  <si>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</si>
  <si>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</si>
  <si>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</si>
  <si>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</si>
  <si>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</si>
  <si>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</si>
  <si>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</si>
  <si>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</si>
  <si>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</si>
  <si>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</si>
  <si>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</si>
  <si>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</si>
  <si>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</si>
  <si>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</si>
  <si>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</si>
  <si>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</si>
  <si>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</si>
  <si>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</si>
  <si>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</si>
  <si>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</si>
  <si>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</si>
  <si>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</si>
  <si>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</si>
  <si>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</si>
  <si>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</si>
  <si>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</si>
  <si>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</si>
  <si>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</si>
  <si>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</si>
  <si>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</si>
  <si>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</si>
  <si>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</si>
  <si>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</si>
  <si>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</si>
  <si>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</si>
  <si>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</si>
  <si>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</si>
  <si>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</si>
  <si>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</si>
  <si>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</si>
  <si>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</si>
  <si>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</si>
  <si>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</si>
  <si>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</si>
  <si>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</si>
  <si>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</si>
  <si>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</si>
  <si>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</si>
  <si>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</si>
  <si>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</si>
  <si>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</si>
  <si>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</si>
  <si>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</si>
  <si>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</si>
  <si>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</si>
  <si>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</si>
  <si>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</si>
  <si>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</si>
  <si>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</si>
  <si>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</si>
  <si>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</si>
  <si>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</si>
  <si>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</si>
  <si>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</si>
  <si>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</si>
  <si>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</si>
  <si>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</si>
  <si>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</si>
  <si>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</si>
  <si>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</si>
  <si>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</si>
  <si>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</si>
  <si>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</si>
  <si>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</si>
  <si>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</si>
  <si>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</si>
  <si>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</si>
  <si>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</si>
  <si>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</si>
  <si>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</si>
  <si>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</si>
  <si>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</si>
  <si>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</si>
  <si>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</si>
  <si>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</si>
  <si>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</si>
  <si>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</si>
  <si>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</si>
  <si>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</si>
  <si>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</si>
  <si>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</si>
  <si>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</si>
  <si>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</si>
  <si>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</si>
  <si>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</si>
  <si>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</si>
  <si>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</si>
  <si>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</si>
  <si>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</si>
  <si>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</si>
  <si>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</si>
  <si>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</si>
  <si>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</si>
  <si>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</si>
  <si>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</si>
  <si>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</si>
  <si>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</si>
  <si>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</si>
  <si>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</si>
  <si>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</si>
  <si>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</si>
  <si>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</si>
  <si>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</si>
  <si>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</si>
  <si>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</si>
  <si>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</si>
  <si>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</si>
  <si>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</si>
  <si>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</si>
  <si>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</si>
  <si>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</si>
  <si>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</si>
  <si>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</si>
  <si>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</si>
  <si>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</si>
  <si>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</si>
  <si>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</si>
  <si>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</si>
  <si>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</si>
  <si>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</si>
  <si>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</si>
  <si>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</si>
  <si>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</si>
  <si>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</si>
  <si>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</si>
  <si>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</si>
  <si>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</si>
  <si>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</si>
  <si>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</si>
  <si>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</si>
  <si>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</si>
  <si>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</si>
  <si>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</si>
  <si>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</si>
  <si>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</si>
  <si>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</si>
  <si>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</si>
  <si>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</si>
  <si>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</si>
  <si>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</si>
  <si>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</si>
  <si>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</si>
  <si>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</si>
  <si>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</si>
  <si>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</si>
  <si>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</si>
  <si>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</si>
  <si>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</si>
  <si>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</si>
  <si>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</si>
  <si>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</si>
  <si>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</si>
  <si>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</si>
  <si>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</si>
  <si>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</si>
  <si>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</si>
  <si>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</si>
  <si>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</si>
  <si>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</si>
  <si>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</si>
  <si>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</si>
  <si>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</si>
  <si>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</si>
  <si>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</si>
  <si>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</si>
  <si>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</si>
  <si>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</si>
  <si>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</si>
  <si>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</si>
  <si>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</si>
  <si>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</si>
  <si>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</si>
  <si>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</si>
  <si>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</si>
  <si>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</si>
  <si>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</si>
  <si>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</si>
  <si>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</si>
  <si>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</si>
  <si>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</si>
  <si>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</si>
  <si>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</si>
  <si>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</si>
  <si>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</si>
  <si>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</si>
  <si>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</si>
  <si>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</si>
  <si>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</si>
  <si>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</si>
  <si>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</si>
  <si>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</si>
  <si>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</si>
  <si>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</si>
  <si>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</si>
  <si>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</si>
  <si>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</si>
  <si>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</si>
  <si>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</si>
  <si>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</si>
  <si>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</si>
  <si>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</si>
  <si>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</si>
  <si>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</si>
  <si>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</si>
  <si>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</si>
  <si>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</si>
  <si>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</si>
  <si>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</si>
  <si>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</si>
  <si>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</si>
  <si>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</si>
  <si>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</si>
  <si>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</si>
  <si>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</si>
  <si>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</si>
  <si>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</si>
  <si>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</si>
  <si>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</si>
  <si>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</si>
  <si>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</si>
  <si>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</si>
  <si>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</si>
  <si>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</si>
  <si>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</si>
  <si>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</si>
  <si>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</si>
  <si>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</si>
  <si>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</si>
  <si>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</si>
  <si>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</si>
  <si>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</si>
  <si>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</si>
  <si>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</si>
  <si>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</si>
  <si>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</si>
  <si>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</si>
  <si>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</si>
  <si>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</si>
  <si>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</si>
  <si>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</si>
  <si>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</si>
  <si>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</si>
  <si>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</si>
  <si>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</si>
  <si>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</si>
  <si>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</si>
  <si>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</si>
  <si>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</si>
  <si>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</si>
  <si>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</si>
  <si>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</si>
  <si>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</si>
  <si>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</si>
  <si>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</si>
  <si>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</si>
  <si>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</si>
  <si>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</si>
  <si>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</si>
  <si>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</si>
  <si>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</si>
  <si>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</si>
  <si>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</si>
  <si>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</si>
  <si>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</si>
  <si>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</si>
  <si>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</si>
  <si>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</si>
  <si>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</si>
  <si>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</si>
  <si>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</si>
  <si>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</si>
  <si>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</si>
  <si>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</si>
  <si>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</si>
  <si>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</si>
  <si>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</si>
  <si>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</si>
  <si>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</si>
  <si>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</si>
  <si>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</si>
  <si>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</si>
  <si>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</si>
  <si>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</si>
  <si>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</si>
  <si>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</si>
  <si>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</si>
  <si>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</si>
  <si>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</si>
  <si>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</si>
  <si>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</si>
  <si>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</si>
  <si>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</si>
  <si>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</si>
  <si>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</si>
  <si>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</si>
  <si>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</si>
  <si>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</si>
  <si>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</si>
  <si>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</si>
  <si>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</si>
  <si>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</si>
  <si>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</si>
  <si>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</si>
  <si>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</si>
  <si>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</si>
  <si>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</si>
  <si>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</si>
  <si>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</si>
  <si>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</si>
  <si>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</si>
  <si>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</si>
  <si>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</si>
  <si>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</si>
  <si>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</si>
  <si>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</si>
  <si>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</si>
  <si>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</si>
  <si>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</si>
  <si>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</si>
  <si>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</si>
  <si>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</si>
  <si>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</si>
  <si>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</si>
  <si>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</si>
  <si>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</si>
  <si>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</si>
  <si>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</si>
  <si>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</si>
  <si>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</si>
  <si>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</si>
  <si>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</si>
  <si>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</si>
  <si>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</si>
  <si>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</si>
  <si>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</si>
  <si>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</si>
  <si>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</si>
  <si>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</si>
  <si>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</si>
  <si>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</si>
  <si>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</si>
  <si>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</si>
  <si>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</si>
  <si>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</si>
  <si>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</si>
  <si>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</si>
  <si>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</si>
  <si>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</si>
  <si>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</si>
  <si>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</si>
  <si>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</si>
  <si>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</si>
  <si>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</si>
  <si>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</si>
  <si>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</si>
  <si>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</si>
  <si>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</si>
  <si>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</si>
  <si>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</si>
  <si>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</si>
  <si>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</si>
  <si>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</si>
  <si>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</si>
  <si>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</si>
  <si>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</si>
  <si>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</si>
  <si>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</si>
  <si>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</si>
  <si>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</si>
  <si>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</si>
  <si>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</si>
  <si>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</si>
  <si>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</si>
  <si>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</si>
  <si>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</si>
  <si>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</si>
  <si>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</si>
  <si>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</si>
  <si>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</si>
  <si>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</si>
  <si>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</si>
  <si>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</si>
  <si>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</si>
  <si>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</si>
  <si>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</si>
  <si>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</si>
  <si>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</si>
  <si>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</si>
  <si>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</si>
  <si>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</si>
  <si>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</si>
  <si>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</si>
  <si>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</si>
  <si>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</si>
  <si>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</si>
  <si>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</si>
  <si>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</si>
  <si>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</si>
  <si>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</si>
  <si>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</si>
  <si>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</si>
  <si>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</si>
  <si>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</si>
  <si>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</si>
  <si>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</si>
  <si>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</si>
  <si>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</si>
  <si>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</si>
  <si>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</si>
  <si>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</si>
  <si>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</si>
  <si>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</si>
  <si>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</si>
  <si>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</si>
  <si>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</si>
  <si>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</si>
  <si>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</si>
  <si>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</si>
  <si>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</si>
  <si>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</si>
  <si>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</si>
  <si>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</si>
  <si>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</si>
  <si>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</si>
  <si>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</si>
  <si>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</si>
  <si>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</si>
  <si>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</si>
  <si>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</si>
  <si>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</si>
  <si>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</si>
  <si>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</si>
  <si>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</si>
  <si>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</si>
  <si>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</si>
  <si>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</si>
  <si>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</si>
  <si>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</si>
  <si>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</si>
  <si>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</si>
  <si>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</si>
  <si>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</si>
  <si>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</si>
  <si>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</si>
  <si>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</si>
  <si>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</si>
  <si>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</si>
  <si>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</si>
  <si>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</si>
  <si>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</si>
  <si>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</si>
  <si>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</si>
  <si>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</si>
  <si>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</si>
  <si>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</si>
  <si>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</si>
  <si>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</si>
  <si>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</si>
  <si>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</si>
  <si>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</si>
  <si>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</si>
  <si>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</si>
  <si>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</si>
  <si>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</si>
  <si>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</si>
  <si>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</si>
  <si>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</si>
  <si>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</si>
  <si>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</si>
  <si>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</si>
  <si>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</si>
  <si>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</si>
  <si>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</si>
  <si>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</si>
  <si>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</si>
  <si>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</si>
  <si>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</si>
  <si>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</si>
  <si>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</si>
  <si>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</si>
  <si>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</si>
  <si>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</si>
  <si>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</si>
  <si>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</si>
  <si>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</si>
  <si>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</si>
  <si>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</si>
  <si>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</si>
  <si>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</si>
  <si>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</si>
  <si>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</si>
  <si>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</si>
  <si>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</si>
  <si>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</si>
  <si>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</si>
  <si>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</si>
  <si>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</si>
  <si>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</si>
  <si>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</si>
  <si>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</si>
  <si>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</si>
  <si>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</si>
  <si>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</si>
  <si>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</si>
  <si>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</si>
  <si>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</si>
  <si>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</si>
  <si>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</si>
  <si>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</si>
  <si>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</si>
  <si>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</si>
  <si>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</si>
  <si>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</si>
  <si>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</si>
  <si>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</si>
  <si>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</si>
  <si>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</si>
  <si>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</si>
  <si>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</si>
  <si>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</si>
  <si>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</si>
  <si>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</si>
  <si>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</si>
  <si>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</si>
  <si>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</si>
  <si>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</si>
  <si>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</si>
  <si>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</si>
  <si>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</si>
  <si>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</si>
  <si>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</si>
  <si>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</si>
  <si>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</si>
  <si>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</si>
  <si>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</si>
  <si>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</si>
  <si>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</si>
  <si>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</si>
  <si>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</si>
  <si>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</si>
  <si>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</si>
  <si>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</si>
  <si>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</si>
  <si>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</si>
  <si>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</si>
  <si>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</si>
  <si>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</si>
  <si>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</si>
  <si>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</si>
  <si>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</si>
  <si>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</si>
  <si>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</si>
  <si>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</si>
  <si>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</si>
  <si>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</si>
  <si>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</si>
  <si>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</si>
  <si>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</si>
  <si>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</si>
  <si>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</si>
  <si>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</si>
  <si>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</si>
  <si>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</si>
  <si>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</si>
  <si>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</si>
  <si>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</si>
  <si>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</si>
  <si>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</si>
  <si>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</si>
  <si>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</si>
  <si>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</si>
  <si>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</si>
  <si>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</si>
  <si>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</si>
  <si>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</si>
  <si>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</si>
  <si>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</si>
  <si>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</si>
  <si>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</si>
  <si>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</si>
  <si>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</si>
  <si>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</si>
  <si>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</si>
  <si>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</si>
  <si>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</si>
  <si>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</si>
  <si>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</si>
  <si>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</si>
  <si>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</si>
  <si>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</si>
  <si>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</si>
  <si>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</si>
  <si>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</si>
  <si>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</si>
  <si>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</si>
  <si>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</si>
  <si>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</si>
  <si>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</si>
  <si>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</si>
  <si>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</si>
  <si>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</si>
  <si>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</si>
  <si>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</si>
  <si>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</si>
  <si>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</si>
  <si>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</si>
  <si>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</si>
  <si>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</si>
  <si>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</si>
  <si>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</si>
  <si>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</si>
  <si>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</si>
  <si>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</si>
  <si>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</si>
  <si>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</si>
  <si>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</si>
  <si>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</si>
  <si>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</si>
  <si>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</si>
  <si>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</si>
  <si>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</si>
  <si>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</si>
  <si>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</si>
  <si>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</si>
  <si>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</si>
  <si>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</si>
  <si>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</si>
  <si>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</si>
  <si>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</si>
  <si>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</si>
  <si>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</si>
  <si>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</si>
  <si>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</si>
  <si>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</si>
  <si>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</si>
  <si>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</si>
  <si>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</si>
  <si>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</si>
  <si>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</si>
  <si>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</si>
  <si>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</si>
  <si>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</si>
  <si>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</si>
  <si>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</si>
  <si>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</si>
  <si>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</si>
  <si>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</si>
  <si>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</si>
  <si>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</si>
  <si>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</si>
  <si>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</si>
  <si>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</si>
  <si>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</si>
  <si>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</si>
  <si>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</si>
  <si>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</si>
  <si>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</si>
  <si>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</si>
  <si>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</si>
  <si>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</si>
  <si>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</si>
  <si>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</si>
  <si>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</si>
  <si>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</si>
  <si>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</si>
  <si>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</si>
  <si>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</si>
  <si>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</si>
  <si>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</si>
  <si>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</si>
  <si>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</si>
  <si>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</si>
  <si>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</si>
  <si>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</si>
  <si>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</si>
  <si>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</si>
  <si>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</si>
  <si>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</si>
  <si>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</si>
  <si>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</si>
  <si>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</si>
  <si>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</si>
  <si>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</si>
  <si>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</si>
  <si>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</si>
  <si>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</si>
  <si>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</si>
  <si>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</si>
  <si>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</si>
  <si>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</si>
  <si>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</si>
  <si>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</si>
  <si>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</si>
  <si>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</si>
  <si>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</si>
  <si>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</si>
  <si>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</si>
  <si>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</si>
  <si>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</si>
  <si>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</si>
  <si>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</si>
  <si>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</si>
  <si>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</si>
  <si>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</si>
  <si>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</si>
  <si>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</si>
  <si>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</si>
  <si>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</si>
  <si>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</si>
  <si>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</si>
  <si>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</si>
  <si>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</si>
  <si>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</si>
  <si>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</si>
  <si>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</si>
  <si>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</si>
  <si>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</si>
  <si>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</si>
  <si>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</si>
  <si>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</si>
  <si>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</si>
  <si>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</si>
  <si>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</si>
  <si>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</si>
  <si>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</si>
  <si>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</si>
  <si>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</si>
  <si>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</si>
  <si>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</si>
  <si>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</si>
  <si>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</si>
  <si>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</si>
  <si>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</si>
  <si>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</si>
  <si>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</si>
  <si>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</si>
  <si>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</si>
  <si>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</si>
  <si>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</si>
  <si>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</si>
  <si>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</si>
  <si>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</si>
  <si>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</si>
  <si>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</si>
  <si>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</si>
  <si>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</si>
  <si>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</si>
  <si>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</si>
  <si>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</si>
  <si>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</si>
  <si>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</si>
  <si>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</si>
  <si>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</si>
  <si>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</si>
  <si>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</si>
  <si>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</si>
  <si>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</si>
  <si>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</si>
  <si>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</si>
  <si>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</si>
  <si>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</si>
  <si>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</si>
  <si>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</si>
  <si>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</si>
  <si>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</si>
  <si>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</si>
  <si>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</si>
  <si>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</si>
  <si>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</si>
  <si>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</si>
  <si>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</si>
  <si>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</si>
  <si>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</si>
  <si>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</si>
  <si>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</si>
  <si>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</si>
  <si>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</si>
  <si>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</si>
  <si>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</si>
  <si>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</si>
  <si>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</si>
  <si>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</si>
  <si>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</si>
  <si>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</si>
  <si>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</si>
  <si>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</si>
  <si>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</si>
  <si>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</si>
  <si>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</si>
  <si>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</si>
  <si>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</si>
  <si>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</si>
  <si>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</si>
  <si>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</si>
  <si>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</si>
  <si>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</si>
  <si>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</si>
  <si>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</si>
  <si>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</si>
  <si>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</si>
  <si>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</si>
  <si>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</si>
  <si>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</si>
  <si>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</si>
  <si>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</si>
  <si>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</si>
  <si>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</si>
  <si>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</si>
  <si>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</si>
  <si>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</si>
  <si>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</si>
  <si>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</si>
  <si>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</si>
  <si>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</si>
  <si>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</si>
  <si>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</si>
  <si>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</si>
  <si>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</si>
  <si>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</si>
  <si>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</si>
  <si>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</si>
  <si>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</si>
  <si>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</si>
  <si>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</si>
  <si>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</si>
  <si>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</si>
  <si>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</si>
  <si>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</si>
  <si>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</si>
  <si>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</si>
  <si>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</si>
  <si>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</si>
  <si>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</si>
  <si>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</si>
  <si>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</si>
  <si>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</si>
  <si>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</si>
  <si>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</si>
  <si>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</si>
  <si>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</si>
  <si>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</si>
  <si>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</si>
  <si>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</si>
  <si>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</si>
  <si>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</si>
  <si>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</si>
  <si>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</si>
  <si>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</si>
  <si>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</si>
  <si>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</si>
  <si>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</si>
  <si>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</si>
  <si>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</si>
  <si>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</si>
  <si>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</si>
  <si>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</si>
  <si>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</si>
  <si>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</si>
  <si>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</si>
  <si>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</si>
  <si>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</si>
  <si>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</si>
  <si>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</si>
  <si>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</si>
  <si>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</si>
  <si>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</si>
  <si>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</si>
  <si>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</si>
  <si>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</si>
  <si>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</si>
  <si>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</si>
  <si>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</si>
  <si>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</si>
  <si>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</si>
  <si>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</si>
  <si>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</si>
  <si>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</si>
  <si>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</si>
  <si>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</si>
  <si>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</si>
  <si>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</si>
  <si>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</si>
  <si>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</si>
  <si>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</si>
  <si>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</si>
  <si>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</si>
  <si>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</si>
  <si>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</si>
  <si>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</si>
  <si>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</si>
  <si>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</si>
  <si>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</si>
  <si>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</si>
  <si>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</si>
  <si>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</si>
  <si>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</si>
  <si>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</si>
  <si>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</si>
  <si>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</si>
  <si>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</si>
  <si>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</si>
  <si>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</si>
  <si>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</si>
  <si>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</si>
  <si>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</si>
  <si>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</si>
  <si>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</si>
  <si>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</si>
  <si>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</si>
  <si>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</si>
  <si>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</si>
  <si>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</si>
  <si>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</si>
  <si>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</si>
  <si>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</si>
  <si>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</si>
  <si>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</si>
  <si>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</si>
  <si>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</si>
  <si>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</si>
  <si>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</si>
  <si>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</si>
  <si>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</si>
  <si>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</si>
  <si>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</si>
  <si>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</si>
  <si>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</si>
  <si>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</si>
  <si>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</si>
  <si>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</si>
  <si>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</si>
  <si>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</si>
  <si>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</si>
  <si>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</si>
  <si>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</si>
  <si>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</si>
  <si>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</si>
  <si>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</si>
  <si>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</si>
  <si>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</si>
  <si>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</si>
  <si>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</si>
  <si>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</si>
  <si>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</si>
  <si>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</si>
  <si>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</si>
  <si>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</si>
  <si>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</si>
  <si>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</si>
  <si>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</si>
  <si>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</si>
  <si>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</si>
  <si>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</si>
  <si>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</si>
  <si>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</si>
  <si>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</si>
  <si>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</si>
  <si>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</si>
  <si>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</si>
  <si>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</si>
  <si>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</si>
  <si>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</si>
  <si>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</si>
  <si>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</si>
  <si>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</si>
  <si>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</si>
  <si>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</si>
  <si>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</si>
  <si>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</si>
  <si>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</si>
  <si>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</si>
  <si>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</si>
  <si>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</si>
  <si>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</si>
  <si>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</si>
  <si>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</si>
  <si>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</si>
  <si>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</si>
  <si>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</si>
  <si>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</si>
  <si>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</si>
  <si>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</si>
  <si>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</si>
  <si>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</si>
  <si>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</si>
  <si>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</si>
  <si>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</si>
  <si>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</si>
  <si>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</si>
  <si>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</si>
  <si>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</si>
  <si>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</si>
  <si>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</si>
  <si>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</si>
  <si>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</si>
  <si>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</si>
  <si>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</si>
  <si>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</si>
  <si>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</si>
  <si>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</si>
  <si>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</si>
  <si>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</si>
  <si>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</si>
  <si>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</si>
  <si>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</si>
  <si>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</si>
  <si>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</si>
  <si>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</si>
  <si>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</si>
  <si>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</si>
  <si>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</si>
  <si>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</si>
  <si>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</si>
  <si>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</si>
  <si>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</si>
  <si>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</si>
  <si>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</si>
  <si>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</si>
  <si>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</si>
  <si>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</si>
  <si>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</si>
  <si>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</si>
  <si>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</si>
  <si>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</si>
  <si>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</si>
  <si>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</si>
  <si>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</si>
  <si>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</si>
  <si>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</si>
  <si>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</si>
  <si>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</si>
  <si>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</si>
  <si>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</si>
  <si>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</si>
  <si>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</si>
  <si>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</si>
  <si>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</si>
  <si>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</si>
  <si>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</si>
  <si>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</si>
  <si>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</si>
  <si>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</si>
  <si>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</si>
  <si>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</si>
  <si>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</si>
  <si>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</si>
  <si>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</si>
  <si>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</si>
  <si>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</si>
  <si>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</si>
  <si>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</si>
  <si>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</si>
  <si>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</si>
  <si>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</si>
  <si>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</si>
  <si>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</si>
  <si>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</si>
  <si>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</si>
  <si>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</si>
  <si>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</si>
  <si>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</si>
  <si>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</si>
  <si>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</si>
  <si>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</si>
  <si>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</si>
  <si>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</si>
  <si>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</si>
  <si>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</si>
  <si>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</si>
  <si>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</si>
  <si>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</si>
  <si>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</si>
  <si>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</si>
  <si>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</si>
  <si>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</si>
  <si>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</si>
  <si>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</si>
  <si>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</si>
  <si>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</si>
  <si>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</si>
  <si>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</si>
  <si>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</si>
  <si>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</si>
  <si>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</si>
  <si>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</si>
  <si>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</si>
  <si>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</si>
  <si>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</si>
  <si>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</si>
  <si>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</si>
  <si>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</si>
  <si>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</si>
  <si>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</si>
  <si>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</si>
  <si>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</si>
  <si>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</si>
  <si>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</si>
  <si>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</si>
  <si>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</si>
  <si>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</si>
  <si>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</si>
  <si>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</si>
  <si>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</si>
  <si>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</si>
  <si>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</si>
  <si>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</si>
  <si>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</si>
  <si>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</si>
  <si>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</si>
  <si>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</si>
  <si>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</si>
  <si>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</si>
  <si>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</si>
  <si>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</si>
  <si>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</si>
  <si>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</si>
  <si>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</si>
  <si>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</si>
  <si>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</si>
  <si>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</si>
  <si>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</si>
  <si>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</si>
  <si>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</si>
  <si>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</si>
  <si>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</si>
  <si>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</si>
  <si>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</si>
  <si>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</si>
  <si>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</si>
  <si>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</si>
  <si>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</si>
  <si>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</si>
  <si>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</si>
  <si>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</si>
  <si>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</si>
  <si>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</si>
  <si>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</si>
  <si>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</si>
  <si>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</si>
  <si>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</si>
  <si>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</si>
  <si>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</si>
  <si>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</si>
  <si>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</si>
  <si>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</si>
  <si>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</si>
  <si>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</si>
  <si>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</si>
  <si>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</si>
  <si>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</si>
  <si>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</si>
  <si>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</si>
  <si>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</si>
  <si>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</si>
  <si>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</si>
  <si>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</si>
  <si>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</si>
  <si>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</si>
  <si>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</si>
  <si>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</si>
  <si>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</si>
  <si>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</si>
  <si>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</si>
  <si>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</si>
  <si>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</si>
  <si>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</si>
  <si>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</si>
  <si>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</si>
  <si>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</si>
  <si>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</si>
  <si>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</si>
  <si>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</si>
  <si>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</si>
  <si>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</si>
  <si>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</si>
  <si>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</si>
  <si>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</si>
  <si>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</si>
  <si>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</si>
  <si>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</si>
  <si>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</si>
  <si>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</si>
  <si>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</si>
  <si>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</si>
  <si>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</si>
  <si>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</si>
  <si>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</si>
  <si>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</si>
  <si>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</si>
  <si>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</si>
  <si>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</si>
  <si>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</si>
  <si>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</si>
  <si>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</si>
  <si>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</si>
  <si>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</si>
  <si>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</si>
  <si>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</si>
  <si>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</si>
  <si>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</si>
  <si>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</si>
  <si>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</si>
  <si>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</si>
  <si>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</si>
  <si>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</si>
  <si>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</si>
  <si>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</si>
  <si>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</si>
  <si>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</si>
  <si>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</si>
  <si>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</si>
  <si>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</si>
  <si>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</si>
  <si>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</si>
  <si>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</si>
  <si>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</si>
  <si>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</si>
  <si>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</si>
  <si>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</si>
  <si>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</si>
  <si>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</si>
  <si>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</si>
  <si>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</si>
  <si>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</si>
  <si>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</si>
  <si>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</si>
  <si>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</si>
  <si>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</si>
  <si>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</si>
  <si>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</si>
  <si>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</si>
  <si>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</si>
  <si>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</si>
  <si>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</si>
  <si>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</si>
  <si>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</si>
  <si>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</si>
  <si>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</si>
  <si>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</si>
  <si>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</si>
  <si>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</si>
  <si>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</si>
  <si>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</si>
  <si>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</si>
  <si>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</si>
  <si>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</si>
  <si>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</si>
  <si>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</si>
  <si>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</si>
  <si>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</si>
  <si>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</si>
  <si>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</si>
  <si>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</si>
  <si>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</si>
  <si>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</si>
  <si>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</si>
  <si>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</si>
  <si>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</si>
  <si>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</si>
  <si>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</si>
  <si>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</si>
  <si>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</si>
  <si>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</si>
  <si>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</si>
  <si>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</si>
  <si>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</si>
  <si>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</si>
  <si>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</si>
  <si>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</si>
  <si>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</si>
  <si>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</si>
  <si>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</si>
  <si>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</si>
  <si>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</si>
  <si>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</si>
  <si>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</si>
  <si>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</si>
  <si>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</si>
  <si>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</si>
  <si>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</si>
  <si>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</si>
  <si>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</si>
  <si>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</si>
  <si>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</si>
  <si>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</si>
  <si>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</si>
  <si>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</si>
  <si>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</si>
  <si>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</si>
  <si>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</si>
  <si>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</si>
  <si>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</si>
  <si>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</si>
  <si>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</si>
  <si>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</si>
  <si>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</si>
  <si>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</si>
  <si>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</si>
  <si>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</si>
  <si>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</si>
  <si>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</si>
  <si>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</si>
  <si>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</si>
  <si>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</si>
  <si>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</si>
  <si>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</si>
  <si>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</si>
  <si>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</si>
  <si>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</si>
  <si>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</si>
  <si>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</si>
  <si>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</si>
  <si>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</si>
  <si>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</si>
  <si>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</si>
  <si>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</si>
  <si>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</si>
  <si>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</si>
  <si>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</si>
  <si>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</si>
  <si>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</si>
  <si>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</si>
  <si>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</si>
  <si>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</si>
  <si>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</si>
  <si>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</si>
  <si>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</si>
  <si>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</si>
  <si>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</si>
  <si>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</si>
  <si>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</si>
  <si>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</si>
  <si>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</si>
  <si>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</si>
  <si>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</si>
  <si>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</si>
  <si>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</si>
  <si>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</si>
  <si>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</si>
  <si>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</si>
  <si>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</si>
  <si>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</si>
  <si>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</si>
  <si>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</si>
  <si>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</si>
  <si>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</si>
  <si>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</si>
  <si>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</si>
  <si>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</si>
  <si>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</si>
  <si>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</si>
  <si>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</si>
  <si>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</si>
  <si>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</si>
  <si>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</si>
  <si>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</si>
  <si>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</si>
  <si>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</si>
  <si>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</si>
  <si>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</si>
  <si>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</si>
  <si>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</si>
  <si>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</si>
  <si>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</si>
  <si>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</si>
  <si>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</si>
  <si>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</si>
  <si>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</si>
  <si>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</si>
  <si>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</si>
  <si>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</si>
  <si>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</si>
  <si>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</si>
  <si>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</si>
  <si>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</si>
  <si>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</si>
  <si>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</si>
  <si>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</si>
  <si>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</si>
  <si>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</si>
  <si>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</si>
  <si>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</si>
  <si>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</si>
  <si>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</si>
  <si>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</si>
  <si>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</si>
  <si>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</si>
  <si>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</si>
  <si>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</si>
  <si>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</si>
  <si>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</si>
  <si>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</si>
  <si>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</si>
  <si>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</si>
  <si>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</si>
  <si>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</si>
  <si>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</si>
  <si>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</si>
  <si>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</si>
  <si>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</si>
  <si>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</si>
  <si>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</si>
  <si>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</si>
  <si>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</si>
  <si>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</si>
  <si>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</si>
  <si>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</si>
  <si>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</si>
  <si>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</si>
  <si>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</si>
  <si>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</si>
  <si>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</si>
  <si>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</si>
  <si>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</si>
  <si>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</si>
  <si>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</si>
  <si>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</si>
  <si>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</si>
  <si>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</si>
  <si>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</si>
  <si>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</si>
  <si>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</si>
  <si>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</si>
  <si>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</si>
  <si>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</si>
  <si>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</si>
  <si>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</si>
  <si>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</si>
  <si>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</si>
  <si>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</si>
  <si>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</si>
  <si>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</si>
  <si>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</si>
  <si>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</si>
  <si>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</si>
  <si>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</si>
  <si>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</si>
  <si>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</si>
  <si>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</si>
  <si>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</si>
  <si>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</si>
  <si>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</si>
  <si>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</si>
  <si>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</si>
  <si>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</si>
  <si>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</si>
  <si>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</si>
  <si>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</si>
  <si>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</si>
  <si>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</si>
  <si>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</si>
  <si>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</si>
  <si>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</si>
  <si>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</si>
  <si>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</si>
  <si>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</si>
  <si>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</si>
  <si>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</si>
  <si>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</si>
  <si>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</si>
  <si>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</si>
  <si>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</si>
  <si>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</si>
  <si>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</si>
  <si>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</si>
  <si>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</si>
  <si>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</si>
  <si>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</si>
  <si>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</si>
  <si>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</si>
  <si>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</si>
  <si>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</si>
  <si>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</si>
  <si>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</si>
  <si>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</si>
  <si>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</si>
  <si>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</si>
  <si>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</si>
  <si>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</si>
  <si>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</si>
  <si>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</si>
  <si>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</si>
  <si>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</si>
  <si>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</si>
  <si>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</si>
  <si>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</si>
  <si>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</si>
  <si>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</si>
  <si>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</si>
  <si>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</si>
  <si>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</si>
  <si>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</si>
  <si>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</si>
  <si>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</si>
  <si>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</si>
  <si>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</si>
  <si>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</si>
  <si>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</si>
  <si>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</si>
  <si>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</si>
  <si>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</si>
  <si>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</si>
  <si>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</si>
  <si>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</si>
  <si>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</si>
  <si>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</si>
  <si>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</si>
  <si>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</si>
  <si>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</si>
  <si>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</si>
  <si>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</si>
  <si>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</si>
  <si>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</si>
  <si>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</si>
  <si>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</si>
  <si>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</si>
  <si>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</si>
  <si>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</si>
  <si>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</si>
  <si>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</si>
  <si>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</si>
  <si>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</si>
  <si>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</si>
  <si>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</si>
  <si>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</si>
  <si>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</si>
  <si>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</si>
  <si>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</si>
  <si>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</si>
  <si>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</si>
  <si>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</si>
  <si>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</si>
  <si>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</si>
  <si>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</si>
  <si>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</si>
  <si>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</si>
  <si>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</si>
  <si>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</si>
  <si>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</si>
  <si>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</si>
  <si>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</si>
  <si>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</si>
  <si>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</si>
  <si>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</si>
  <si>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</si>
  <si>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</si>
  <si>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</si>
  <si>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</si>
  <si>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</si>
  <si>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</si>
  <si>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</si>
  <si>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</si>
  <si>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</si>
  <si>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</si>
  <si>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</si>
  <si>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</si>
  <si>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</si>
  <si>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</si>
  <si>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</si>
  <si>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</si>
  <si>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</si>
  <si>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</si>
  <si>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</si>
  <si>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</si>
  <si>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</si>
  <si>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</si>
  <si>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</si>
  <si>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</si>
  <si>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</si>
  <si>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</si>
  <si>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</si>
  <si>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</si>
  <si>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</si>
  <si>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</si>
  <si>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</si>
  <si>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</si>
  <si>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</si>
  <si>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</si>
  <si>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</si>
  <si>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</si>
  <si>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</si>
  <si>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</si>
  <si>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</si>
  <si>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</si>
  <si>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</si>
  <si>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</si>
  <si>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</si>
  <si>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</si>
  <si>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</si>
  <si>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</si>
  <si>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</si>
  <si>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</si>
  <si>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</si>
  <si>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</si>
  <si>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</si>
  <si>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</si>
  <si>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</si>
  <si>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</si>
  <si>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</si>
  <si>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</si>
  <si>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</si>
  <si>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</si>
  <si>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</si>
  <si>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</si>
  <si>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</si>
  <si>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</si>
  <si>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</si>
  <si>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</si>
  <si>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</si>
  <si>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</si>
  <si>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</si>
  <si>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</si>
  <si>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</si>
  <si>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</si>
  <si>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</si>
  <si>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</si>
  <si>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</si>
  <si>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</si>
  <si>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</si>
  <si>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</si>
  <si>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</si>
  <si>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</si>
  <si>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</si>
  <si>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</si>
  <si>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</si>
  <si>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</si>
  <si>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</si>
  <si>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</si>
  <si>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</si>
  <si>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</si>
  <si>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</si>
  <si>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</si>
  <si>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</si>
  <si>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</si>
  <si>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</si>
  <si>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</si>
  <si>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</si>
  <si>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</si>
  <si>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</si>
  <si>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</si>
  <si>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</si>
  <si>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</si>
  <si>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</si>
  <si>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</si>
  <si>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</si>
  <si>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</si>
  <si>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</si>
  <si>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</si>
  <si>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</si>
  <si>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</si>
  <si>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</si>
  <si>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</si>
  <si>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</si>
  <si>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</si>
  <si>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</si>
  <si>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</si>
  <si>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</si>
  <si>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</si>
  <si>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</si>
  <si>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</si>
  <si>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</si>
  <si>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</si>
  <si>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</si>
  <si>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</si>
  <si>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</si>
  <si>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</si>
  <si>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</si>
  <si>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</si>
  <si>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</si>
  <si>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</si>
  <si>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</si>
  <si>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</si>
  <si>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</si>
  <si>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</si>
  <si>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</si>
  <si>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</si>
  <si>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</si>
  <si>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</si>
  <si>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</si>
  <si>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</si>
  <si>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</si>
  <si>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</si>
  <si>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</si>
  <si>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</si>
  <si>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</si>
  <si>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</si>
  <si>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</si>
  <si>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</si>
  <si>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</si>
  <si>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</si>
  <si>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</si>
  <si>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</si>
  <si>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</si>
  <si>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</si>
  <si>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</si>
  <si>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</si>
  <si>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</si>
  <si>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</si>
  <si>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</si>
  <si>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</si>
  <si>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</si>
  <si>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</si>
  <si>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</si>
  <si>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</si>
  <si>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</si>
  <si>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</si>
  <si>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</si>
  <si>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</si>
  <si>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</si>
  <si>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</si>
  <si>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</si>
  <si>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</si>
  <si>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</si>
  <si>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</si>
  <si>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</si>
  <si>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</si>
  <si>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</si>
  <si>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</si>
  <si>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</si>
  <si>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</si>
  <si>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</si>
  <si>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</si>
  <si>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</si>
  <si>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</si>
  <si>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</si>
  <si>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</si>
  <si>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</si>
  <si>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</si>
  <si>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</si>
  <si>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</si>
  <si>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</si>
  <si>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</si>
  <si>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</si>
  <si>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</si>
  <si>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</si>
  <si>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</si>
  <si>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</si>
  <si>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</si>
  <si>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</si>
  <si>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</si>
  <si>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</si>
  <si>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</si>
  <si>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</si>
  <si>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</si>
  <si>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</si>
  <si>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</si>
  <si>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</si>
  <si>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</si>
  <si>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</si>
  <si>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</si>
  <si>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</si>
  <si>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</si>
  <si>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</si>
  <si>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</si>
  <si>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</si>
  <si>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</si>
  <si>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</si>
  <si>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</si>
  <si>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</si>
  <si>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</si>
  <si>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</si>
  <si>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</si>
  <si>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</si>
  <si>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</si>
  <si>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</si>
  <si>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</si>
  <si>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</si>
  <si>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</si>
  <si>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</si>
  <si>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</si>
  <si>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</si>
  <si>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</si>
  <si>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</si>
  <si>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</si>
  <si>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</si>
  <si>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</si>
  <si>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</si>
  <si>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</si>
  <si>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</si>
  <si>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</si>
  <si>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</si>
  <si>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</si>
  <si>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</si>
  <si>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</si>
  <si>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</si>
  <si>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</si>
  <si>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</si>
  <si>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</si>
  <si>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</si>
  <si>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</si>
  <si>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</si>
  <si>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</si>
  <si>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</si>
  <si>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</si>
  <si>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</si>
  <si>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</si>
  <si>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</si>
  <si>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</si>
  <si>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</si>
  <si>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</si>
  <si>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</si>
  <si>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</si>
  <si>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</si>
  <si>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</si>
  <si>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</si>
  <si>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</si>
  <si>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</si>
  <si>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</si>
  <si>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</si>
  <si>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</si>
  <si>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</si>
  <si>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</si>
  <si>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</si>
  <si>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</si>
  <si>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</si>
  <si>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</si>
  <si>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</si>
  <si>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</si>
  <si>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</si>
  <si>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</si>
  <si>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</si>
  <si>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</si>
  <si>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</si>
  <si>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</si>
  <si>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</si>
  <si>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</si>
  <si>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</si>
  <si>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</si>
  <si>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</si>
  <si>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</si>
  <si>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</si>
  <si>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</si>
  <si>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</si>
  <si>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</si>
  <si>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</si>
  <si>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</si>
  <si>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</si>
  <si>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</si>
  <si>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</si>
  <si>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</si>
  <si>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</si>
  <si>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</si>
  <si>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</si>
  <si>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</si>
  <si>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</si>
  <si>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</si>
  <si>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</si>
  <si>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</si>
  <si>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</si>
  <si>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</si>
  <si>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</si>
  <si>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</si>
  <si>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</si>
  <si>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</si>
  <si>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</si>
  <si>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</si>
  <si>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</si>
  <si>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</si>
  <si>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</si>
  <si>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</si>
  <si>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</si>
  <si>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</si>
  <si>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</si>
  <si>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</si>
  <si>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</si>
  <si>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</si>
  <si>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</si>
  <si>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</si>
  <si>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</si>
  <si>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</si>
  <si>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</si>
  <si>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</si>
  <si>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</si>
  <si>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</si>
  <si>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</si>
  <si>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</si>
  <si>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</si>
  <si>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</si>
  <si>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</si>
  <si>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</si>
  <si>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</si>
  <si>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</si>
  <si>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</si>
  <si>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</si>
  <si>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</si>
  <si>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</si>
  <si>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</si>
  <si>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</si>
  <si>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</si>
  <si>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</si>
  <si>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</si>
  <si>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</si>
  <si>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</si>
  <si>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</si>
  <si>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</si>
  <si>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</si>
  <si>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</si>
  <si>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</si>
  <si>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</si>
  <si>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</si>
  <si>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</si>
  <si>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</si>
  <si>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</si>
  <si>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</si>
  <si>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</si>
  <si>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</si>
  <si>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</si>
  <si>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</si>
  <si>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</si>
  <si>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</si>
  <si>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</si>
  <si>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</si>
  <si>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</si>
  <si>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</si>
  <si>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</si>
  <si>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</si>
  <si>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</si>
  <si>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</si>
  <si>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</si>
  <si>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</si>
  <si>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</si>
  <si>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</si>
  <si>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</si>
  <si>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</si>
  <si>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</si>
  <si>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</si>
  <si>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</si>
  <si>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</si>
  <si>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</si>
  <si>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</si>
  <si>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</si>
  <si>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</si>
  <si>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</si>
  <si>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</si>
  <si>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</si>
  <si>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</si>
  <si>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</si>
  <si>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</si>
  <si>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</si>
  <si>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</si>
  <si>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</si>
  <si>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</si>
  <si>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</si>
  <si>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</si>
  <si>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</si>
  <si>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</si>
  <si>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</si>
  <si>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</si>
  <si>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</si>
  <si>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</si>
  <si>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</si>
  <si>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</si>
  <si>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</si>
  <si>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</si>
  <si>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</si>
  <si>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</si>
  <si>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</si>
  <si>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</si>
  <si>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</si>
  <si>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</si>
  <si>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</si>
  <si>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</si>
  <si>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</si>
  <si>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</si>
  <si>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</si>
  <si>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</si>
  <si>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</si>
  <si>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</si>
  <si>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</si>
  <si>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</si>
  <si>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</si>
  <si>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</si>
  <si>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</si>
  <si>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</si>
  <si>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</si>
  <si>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</si>
  <si>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</si>
  <si>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</si>
  <si>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</si>
  <si>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</si>
  <si>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</si>
  <si>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</si>
  <si>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</si>
  <si>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</si>
  <si>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</si>
  <si>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</si>
  <si>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</si>
  <si>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</si>
  <si>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</si>
  <si>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</si>
  <si>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</si>
  <si>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</si>
  <si>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</si>
  <si>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</si>
  <si>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</si>
  <si>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</si>
  <si>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</si>
  <si>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</si>
  <si>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</si>
  <si>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</si>
  <si>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</si>
  <si>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</si>
  <si>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</si>
  <si>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</si>
  <si>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</si>
  <si>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</si>
  <si>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</si>
  <si>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</si>
  <si>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</si>
  <si>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</si>
  <si>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</si>
  <si>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</si>
  <si>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</si>
  <si>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</si>
  <si>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</si>
  <si>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</si>
  <si>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</si>
  <si>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</si>
  <si>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</si>
  <si>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</si>
  <si>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</si>
  <si>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</si>
  <si>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</si>
  <si>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</si>
  <si>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</si>
  <si>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</si>
  <si>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</si>
  <si>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</si>
  <si>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</si>
  <si>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</si>
  <si>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</si>
  <si>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</si>
  <si>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</si>
  <si>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</si>
  <si>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</si>
  <si>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</si>
  <si>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</si>
  <si>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</si>
  <si>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</si>
  <si>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</si>
  <si>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</si>
  <si>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</si>
  <si>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</si>
  <si>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</si>
  <si>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</si>
  <si>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</si>
  <si>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</si>
  <si>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</si>
  <si>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</si>
  <si>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</si>
  <si>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</si>
  <si>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</si>
  <si>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</si>
  <si>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</si>
  <si>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</si>
  <si>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</si>
  <si>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</si>
  <si>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</si>
  <si>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</si>
  <si>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</si>
  <si>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</si>
  <si>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</si>
  <si>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</si>
  <si>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</si>
  <si>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</si>
  <si>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</si>
  <si>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</si>
  <si>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</si>
  <si>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</si>
  <si>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</si>
  <si>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</si>
  <si>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</si>
  <si>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</si>
  <si>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</si>
  <si>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</si>
  <si>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</si>
  <si>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</si>
  <si>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</si>
  <si>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</si>
  <si>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</si>
  <si>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</si>
  <si>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</si>
  <si>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</si>
  <si>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</si>
  <si>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</si>
  <si>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</si>
  <si>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</si>
  <si>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</si>
  <si>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</si>
  <si>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</si>
  <si>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</si>
  <si>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</si>
  <si>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</si>
  <si>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</si>
  <si>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</si>
  <si>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</si>
  <si>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</si>
  <si>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</si>
  <si>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</si>
  <si>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</si>
  <si>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</si>
  <si>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</si>
  <si>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</si>
  <si>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</si>
  <si>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</si>
  <si>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</si>
  <si>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</si>
  <si>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</si>
  <si>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</si>
  <si>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</si>
  <si>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</si>
  <si>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</si>
  <si>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</si>
  <si>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</si>
  <si>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</si>
  <si>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</si>
  <si>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</si>
  <si>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</si>
  <si>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</si>
  <si>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</si>
  <si>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</si>
  <si>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</si>
  <si>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</si>
  <si>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</si>
  <si>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</si>
  <si>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</si>
  <si>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</si>
  <si>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</si>
  <si>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</si>
  <si>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</si>
  <si>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</si>
  <si>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</si>
  <si>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</si>
  <si>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</si>
  <si>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</si>
  <si>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</si>
  <si>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</si>
  <si>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</si>
  <si>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</si>
  <si>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</si>
  <si>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</si>
  <si>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</si>
  <si>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</si>
  <si>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</si>
  <si>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</si>
  <si>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</si>
  <si>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</si>
  <si>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</si>
  <si>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</si>
  <si>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</si>
  <si>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</si>
  <si>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</si>
  <si>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</si>
  <si>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</si>
  <si>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</si>
  <si>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</si>
  <si>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</si>
  <si>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</si>
  <si>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</si>
  <si>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</si>
  <si>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</si>
  <si>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</si>
  <si>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</si>
  <si>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</si>
  <si>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</si>
  <si>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</si>
  <si>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</si>
  <si>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</si>
  <si>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</si>
  <si>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</si>
  <si>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</si>
  <si>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</si>
  <si>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</si>
  <si>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</si>
  <si>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</si>
  <si>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</si>
  <si>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</si>
  <si>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</si>
  <si>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</si>
  <si>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</si>
  <si>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</si>
  <si>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</si>
  <si>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</si>
  <si>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</si>
  <si>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</si>
  <si>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</si>
  <si>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</si>
  <si>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</si>
  <si>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</si>
  <si>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</si>
  <si>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</si>
  <si>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</si>
  <si>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</si>
  <si>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</si>
  <si>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</si>
  <si>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</si>
  <si>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</si>
  <si>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</si>
  <si>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</si>
  <si>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</si>
  <si>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</si>
  <si>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</si>
  <si>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</si>
  <si>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</si>
  <si>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</si>
  <si>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</si>
  <si>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</si>
  <si>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</si>
  <si>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</si>
  <si>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</si>
  <si>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</si>
  <si>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</si>
  <si>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</si>
  <si>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</si>
  <si>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</si>
  <si>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</si>
  <si>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</si>
  <si>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</si>
  <si>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</si>
  <si>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</si>
  <si>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</si>
  <si>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</si>
  <si>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</si>
  <si>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</si>
  <si>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</si>
  <si>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</si>
  <si>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</si>
  <si>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</si>
  <si>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</si>
  <si>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</si>
  <si>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</si>
  <si>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</si>
  <si>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</si>
  <si>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</si>
  <si>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</si>
  <si>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</si>
  <si>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</si>
  <si>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</si>
  <si>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</si>
  <si>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</si>
  <si>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</si>
  <si>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</si>
  <si>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</si>
  <si>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</si>
  <si>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</si>
  <si>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</si>
  <si>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</si>
  <si>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</si>
  <si>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</si>
  <si>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</si>
  <si>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</si>
  <si>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</si>
  <si>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</si>
  <si>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</si>
  <si>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</si>
  <si>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</si>
  <si>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</si>
  <si>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</si>
  <si>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</si>
  <si>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</si>
  <si>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</si>
  <si>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</si>
  <si>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</si>
  <si>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</si>
  <si>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</si>
  <si>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</si>
  <si>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</si>
  <si>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</si>
  <si>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</si>
  <si>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</si>
  <si>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</si>
  <si>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</si>
  <si>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</si>
  <si>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</si>
  <si>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</si>
  <si>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</si>
  <si>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</si>
  <si>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</si>
  <si>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</si>
  <si>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</si>
  <si>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</si>
  <si>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</si>
  <si>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</si>
  <si>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</si>
  <si>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</si>
  <si>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</si>
  <si>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</si>
  <si>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</si>
  <si>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</si>
  <si>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</si>
  <si>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</si>
  <si>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</si>
  <si>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</si>
  <si>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</si>
  <si>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</si>
  <si>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</si>
  <si>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</si>
  <si>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</si>
  <si>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</si>
  <si>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</si>
  <si>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</si>
  <si>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</si>
  <si>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</si>
  <si>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</si>
  <si>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</si>
  <si>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</si>
  <si>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</si>
  <si>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</si>
  <si>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</si>
  <si>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</si>
  <si>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</si>
  <si>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</si>
  <si>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</si>
  <si>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</si>
  <si>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</si>
  <si>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</si>
  <si>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</si>
  <si>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</si>
  <si>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</si>
  <si>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</si>
  <si>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</si>
  <si>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</si>
  <si>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</si>
  <si>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</si>
  <si>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</si>
  <si>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</si>
  <si>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</si>
  <si>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</si>
  <si>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</si>
  <si>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</si>
  <si>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</si>
  <si>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</si>
  <si>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</si>
  <si>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</si>
  <si>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</si>
  <si>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</si>
  <si>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</si>
  <si>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</si>
  <si>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</si>
  <si>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</si>
  <si>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</si>
  <si>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</si>
  <si>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</si>
  <si>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</si>
  <si>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</si>
  <si>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</si>
  <si>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</si>
  <si>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</si>
  <si>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</si>
  <si>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</si>
  <si>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</si>
  <si>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</si>
  <si>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</si>
  <si>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</si>
  <si>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</si>
  <si>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</si>
  <si>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</si>
  <si>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</si>
  <si>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</si>
  <si>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</si>
  <si>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</si>
  <si>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</si>
  <si>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</si>
  <si>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</si>
  <si>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</si>
  <si>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</si>
  <si>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</si>
  <si>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</si>
  <si>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</si>
  <si>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</si>
  <si>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</si>
  <si>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</si>
  <si>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</si>
  <si>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</si>
  <si>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</si>
  <si>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</si>
  <si>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</si>
  <si>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</si>
  <si>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</si>
  <si>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</si>
  <si>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</si>
  <si>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</si>
  <si>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</si>
  <si>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</si>
  <si>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</si>
  <si>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</si>
  <si>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</si>
  <si>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</si>
  <si>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</si>
  <si>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</si>
  <si>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</si>
  <si>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</si>
  <si>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</si>
  <si>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</si>
  <si>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</si>
  <si>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</si>
  <si>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</si>
  <si>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</si>
  <si>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</si>
  <si>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</si>
  <si>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</si>
  <si>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</si>
  <si>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</si>
  <si>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</si>
  <si>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</si>
  <si>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</si>
  <si>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</si>
  <si>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</si>
  <si>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</si>
  <si>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</si>
  <si>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</si>
  <si>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</si>
  <si>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</si>
  <si>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</si>
  <si>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</si>
  <si>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</si>
  <si>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</si>
  <si>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</si>
  <si>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</si>
  <si>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</si>
  <si>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</si>
  <si>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</si>
  <si>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</si>
  <si>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</si>
  <si>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</si>
  <si>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</si>
  <si>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</si>
  <si>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</si>
  <si>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</si>
  <si>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</si>
  <si>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</si>
  <si>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</si>
  <si>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</si>
  <si>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</si>
  <si>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</si>
  <si>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</si>
  <si>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</si>
  <si>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</si>
  <si>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</si>
  <si>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</si>
  <si>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</si>
  <si>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</si>
  <si>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</si>
  <si>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</si>
  <si>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</si>
  <si>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</si>
  <si>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</si>
  <si>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</si>
  <si>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</si>
  <si>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</si>
  <si>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</si>
  <si>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</si>
  <si>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</si>
  <si>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</si>
  <si>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</si>
  <si>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</si>
  <si>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</si>
  <si>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</si>
  <si>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</si>
  <si>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</si>
  <si>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</si>
  <si>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</si>
  <si>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</si>
  <si>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</si>
  <si>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</si>
  <si>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</si>
  <si>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</si>
  <si>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</si>
  <si>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</si>
  <si>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</si>
  <si>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</si>
  <si>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</si>
  <si>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</si>
  <si>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</si>
  <si>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</si>
  <si>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</si>
  <si>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</si>
  <si>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</si>
  <si>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</si>
  <si>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</si>
  <si>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</si>
  <si>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</si>
  <si>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</si>
  <si>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</si>
  <si>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</si>
  <si>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</si>
  <si>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</si>
  <si>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</si>
  <si>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</si>
  <si>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</si>
  <si>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</si>
  <si>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</si>
  <si>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</si>
  <si>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</si>
  <si>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</si>
  <si>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</si>
  <si>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</si>
  <si>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</si>
  <si>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</si>
  <si>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</si>
  <si>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</si>
  <si>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</si>
  <si>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</si>
  <si>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</si>
  <si>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</si>
  <si>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</si>
  <si>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</si>
  <si>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</si>
  <si>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</si>
  <si>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</si>
  <si>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</si>
  <si>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</si>
  <si>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</si>
  <si>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</si>
  <si>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</si>
  <si>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</si>
  <si>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</si>
  <si>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</si>
  <si>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</si>
  <si>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</si>
  <si>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</si>
  <si>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</si>
  <si>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</si>
  <si>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</si>
  <si>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</si>
  <si>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</si>
  <si>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</si>
  <si>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</si>
  <si>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</si>
  <si>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</si>
  <si>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</si>
  <si>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</si>
  <si>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</si>
  <si>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</si>
  <si>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</si>
  <si>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</si>
  <si>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</si>
  <si>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</si>
  <si>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</si>
  <si>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</si>
  <si>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</si>
  <si>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</si>
  <si>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</si>
  <si>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</si>
  <si>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</si>
  <si>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</si>
  <si>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</si>
  <si>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</si>
  <si>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</si>
  <si>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</si>
  <si>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</si>
  <si>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</si>
  <si>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</si>
  <si>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</si>
  <si>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</si>
  <si>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</si>
  <si>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</si>
  <si>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</si>
  <si>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</si>
  <si>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</si>
  <si>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</si>
  <si>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</si>
  <si>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</si>
  <si>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</si>
  <si>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</si>
  <si>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</si>
  <si>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</si>
  <si>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</si>
  <si>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</si>
  <si>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</si>
  <si>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</si>
  <si>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</si>
  <si>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</si>
  <si>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</si>
  <si>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</si>
  <si>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</si>
  <si>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</si>
  <si>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</si>
  <si>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</si>
  <si>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</si>
  <si>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</si>
  <si>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</si>
  <si>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</si>
  <si>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</si>
  <si>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</si>
  <si>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</si>
  <si>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</si>
  <si>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</si>
  <si>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</si>
  <si>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</si>
  <si>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</si>
  <si>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</si>
  <si>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</si>
  <si>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</si>
  <si>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</si>
  <si>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</si>
  <si>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</si>
  <si>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</si>
  <si>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</si>
  <si>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</si>
  <si>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</si>
  <si>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</si>
  <si>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</si>
  <si>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</si>
  <si>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</si>
  <si>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</si>
  <si>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</si>
  <si>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</si>
  <si>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</si>
  <si>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</si>
  <si>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</si>
  <si>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</si>
  <si>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</si>
  <si>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</si>
  <si>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</si>
  <si>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</si>
  <si>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</si>
  <si>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</si>
  <si>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</si>
  <si>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</si>
  <si>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</si>
  <si>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</si>
  <si>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</si>
  <si>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</si>
  <si>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</si>
  <si>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</si>
  <si>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</si>
  <si>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</si>
  <si>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</si>
  <si>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</si>
  <si>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</si>
  <si>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</si>
  <si>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</si>
  <si>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</si>
  <si>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</si>
  <si>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</si>
  <si>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</si>
  <si>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</si>
  <si>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</si>
  <si>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</si>
  <si>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</si>
  <si>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</si>
  <si>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</si>
  <si>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</si>
  <si>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</si>
  <si>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</si>
  <si>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</si>
  <si>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</si>
  <si>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</si>
  <si>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</si>
  <si>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</si>
  <si>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</si>
  <si>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</si>
  <si>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</si>
  <si>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</si>
  <si>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</si>
  <si>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</si>
  <si>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</si>
  <si>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</si>
  <si>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</si>
  <si>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</si>
  <si>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</si>
  <si>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</si>
  <si>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</si>
  <si>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</si>
  <si>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</si>
  <si>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</si>
  <si>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</si>
  <si>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</si>
  <si>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</si>
  <si>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</si>
  <si>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</si>
  <si>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</si>
  <si>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</si>
  <si>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</si>
  <si>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</si>
  <si>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</si>
  <si>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</si>
  <si>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</si>
  <si>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</si>
  <si>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</si>
  <si>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</si>
  <si>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</si>
  <si>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</si>
  <si>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</si>
  <si>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</si>
  <si>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</si>
  <si>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</si>
  <si>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</si>
  <si>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</si>
  <si>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</si>
  <si>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</si>
  <si>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</si>
  <si>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</si>
  <si>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</si>
  <si>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</si>
  <si>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</si>
  <si>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</si>
  <si>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</si>
  <si>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</si>
  <si>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</si>
  <si>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</si>
  <si>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</si>
  <si>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</si>
  <si>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</si>
  <si>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</si>
  <si>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</si>
  <si>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</si>
  <si>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</si>
  <si>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</si>
  <si>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</si>
  <si>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</si>
  <si>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</si>
  <si>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</si>
  <si>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</si>
  <si>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</si>
  <si>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</si>
  <si>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</si>
  <si>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</si>
  <si>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</si>
  <si>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</si>
  <si>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</si>
  <si>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</si>
  <si>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</si>
  <si>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</si>
  <si>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</si>
  <si>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</si>
  <si>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</si>
  <si>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</si>
  <si>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</si>
  <si>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</si>
  <si>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</si>
  <si>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</si>
  <si>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</si>
  <si>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</si>
  <si>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</si>
  <si>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</si>
  <si>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</si>
  <si>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</si>
  <si>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</si>
  <si>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</si>
  <si>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</si>
  <si>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</si>
  <si>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</si>
  <si>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</si>
  <si>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</si>
  <si>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</si>
  <si>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</si>
  <si>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</si>
  <si>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</si>
  <si>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</si>
  <si>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</si>
  <si>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</si>
  <si>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</si>
  <si>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</si>
  <si>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</si>
  <si>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</si>
  <si>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</si>
  <si>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</si>
  <si>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</si>
  <si>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</si>
  <si>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</si>
  <si>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</si>
  <si>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</si>
  <si>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</si>
  <si>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</si>
  <si>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</si>
  <si>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</si>
  <si>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</si>
  <si>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</si>
  <si>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</si>
  <si>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</si>
  <si>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</si>
  <si>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</si>
  <si>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</si>
  <si>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</si>
  <si>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</si>
  <si>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</si>
  <si>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</si>
  <si>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</si>
  <si>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</si>
  <si>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</si>
  <si>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</si>
  <si>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</si>
  <si>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</si>
  <si>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</si>
  <si>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</si>
  <si>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</si>
  <si>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</si>
  <si>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</si>
  <si>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</si>
  <si>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</si>
  <si>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</si>
  <si>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</si>
  <si>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</si>
  <si>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</si>
  <si>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</si>
  <si>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</si>
  <si>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</si>
  <si>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</si>
  <si>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</si>
  <si>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</si>
  <si>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</si>
  <si>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</si>
  <si>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</si>
  <si>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</si>
  <si>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</si>
  <si>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</si>
  <si>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</si>
  <si>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</si>
  <si>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</si>
  <si>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</si>
  <si>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</si>
  <si>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</si>
  <si>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</si>
  <si>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</si>
  <si>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</si>
  <si>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</si>
  <si>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</si>
  <si>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</si>
  <si>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</si>
  <si>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</si>
  <si>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</si>
  <si>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</si>
  <si>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</si>
  <si>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</si>
  <si>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</si>
  <si>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</si>
  <si>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</si>
  <si>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</si>
  <si>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</si>
  <si>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</si>
  <si>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</si>
  <si>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</si>
  <si>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</si>
  <si>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</si>
  <si>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</si>
  <si>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</si>
  <si>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</si>
  <si>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</si>
  <si>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</si>
  <si>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</si>
  <si>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</si>
  <si>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</si>
  <si>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</si>
  <si>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</si>
  <si>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</si>
  <si>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</si>
  <si>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</si>
  <si>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</si>
  <si>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</si>
  <si>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</si>
  <si>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</si>
  <si>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</si>
  <si>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</si>
  <si>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</si>
  <si>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</si>
  <si>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</si>
  <si>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</si>
  <si>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</si>
  <si>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</si>
  <si>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</si>
  <si>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</si>
  <si>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</si>
  <si>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</si>
  <si>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</si>
  <si>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</si>
  <si>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</si>
  <si>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</si>
  <si>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</si>
  <si>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</si>
  <si>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</si>
  <si>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</si>
  <si>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</si>
  <si>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</si>
  <si>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</si>
  <si>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</si>
  <si>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</si>
  <si>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</si>
  <si>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</si>
  <si>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</si>
  <si>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</si>
  <si>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</si>
  <si>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</si>
  <si>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</si>
  <si>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</si>
  <si>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</si>
  <si>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</si>
  <si>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</si>
  <si>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</si>
  <si>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</si>
  <si>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</si>
  <si>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</si>
  <si>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</si>
  <si>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</si>
  <si>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</si>
  <si>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</si>
  <si>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</si>
  <si>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</si>
  <si>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</si>
  <si>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</si>
  <si>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</si>
  <si>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</si>
  <si>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</si>
  <si>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</si>
  <si>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</si>
  <si>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</si>
  <si>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</si>
  <si>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</si>
  <si>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</si>
  <si>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</si>
  <si>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</si>
  <si>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</si>
  <si>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</si>
  <si>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</si>
  <si>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</si>
  <si>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</si>
  <si>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</si>
  <si>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</si>
  <si>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</si>
  <si>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</si>
  <si>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</si>
  <si>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</si>
  <si>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</si>
  <si>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</si>
  <si>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</si>
  <si>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</si>
  <si>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</si>
  <si>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</si>
  <si>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</si>
  <si>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</si>
  <si>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</si>
  <si>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</si>
  <si>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</si>
  <si>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</si>
  <si>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</si>
  <si>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</si>
  <si>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</si>
  <si>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</si>
  <si>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</si>
  <si>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</si>
  <si>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</si>
  <si>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</si>
  <si>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</si>
  <si>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</si>
  <si>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</si>
  <si>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</si>
  <si>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</si>
  <si>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</si>
  <si>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</si>
  <si>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</si>
  <si>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</si>
  <si>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</si>
  <si>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</si>
  <si>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</si>
  <si>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</si>
  <si>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</si>
  <si>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</si>
  <si>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</si>
  <si>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</si>
  <si>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</si>
  <si>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</si>
  <si>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</si>
  <si>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</si>
  <si>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</si>
  <si>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</si>
  <si>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</si>
  <si>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</si>
  <si>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</si>
  <si>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</si>
  <si>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</si>
  <si>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</si>
  <si>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</si>
  <si>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</si>
  <si>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</si>
  <si>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</si>
  <si>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</si>
  <si>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</si>
  <si>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</si>
  <si>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</si>
  <si>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</si>
  <si>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</si>
  <si>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</si>
  <si>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</si>
  <si>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</si>
  <si>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</si>
  <si>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</si>
  <si>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</si>
  <si>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</si>
  <si>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</si>
  <si>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</si>
  <si>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</si>
  <si>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</si>
  <si>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</si>
  <si>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</si>
  <si>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</si>
  <si>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</si>
  <si>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</si>
  <si>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</si>
  <si>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</si>
  <si>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</si>
  <si>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</si>
  <si>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</si>
  <si>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</si>
  <si>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</si>
  <si>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</si>
  <si>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</si>
  <si>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</si>
  <si>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</si>
  <si>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</si>
  <si>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</si>
  <si>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</si>
  <si>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</si>
  <si>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</si>
  <si>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</si>
  <si>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</si>
  <si>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</si>
  <si>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</si>
  <si>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</si>
  <si>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</si>
  <si>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</si>
  <si>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</si>
  <si>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</si>
  <si>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</si>
  <si>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</si>
  <si>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</si>
  <si>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</si>
  <si>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</si>
  <si>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</si>
  <si>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</si>
  <si>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</si>
  <si>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</si>
  <si>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</si>
  <si>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</si>
  <si>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</si>
  <si>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</si>
  <si>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</si>
  <si>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</si>
  <si>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</si>
  <si>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</si>
  <si>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</si>
  <si>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</si>
  <si>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</si>
  <si>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</si>
  <si>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</si>
  <si>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</si>
  <si>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</si>
  <si>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</si>
  <si>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</si>
  <si>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</si>
  <si>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</si>
  <si>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</si>
  <si>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</si>
  <si>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</si>
  <si>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</si>
  <si>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</si>
  <si>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</si>
  <si>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</si>
  <si>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</si>
  <si>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</si>
  <si>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</si>
  <si>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</si>
  <si>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</si>
  <si>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</si>
  <si>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</si>
  <si>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</si>
  <si>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</si>
  <si>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</si>
  <si>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</si>
  <si>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</si>
  <si>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</si>
  <si>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</si>
  <si>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</si>
  <si>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</si>
  <si>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</si>
  <si>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</si>
  <si>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</si>
  <si>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</si>
  <si>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</si>
  <si>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</si>
  <si>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</si>
  <si>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</si>
  <si>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</si>
  <si>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</si>
  <si>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</si>
  <si>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</si>
  <si>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</si>
  <si>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</si>
  <si>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</si>
  <si>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</si>
  <si>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</si>
  <si>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</si>
  <si>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</si>
  <si>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</si>
  <si>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</si>
  <si>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</si>
  <si>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</si>
  <si>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</si>
  <si>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</si>
  <si>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</si>
  <si>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</si>
  <si>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</si>
  <si>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</si>
  <si>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</si>
  <si>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</si>
  <si>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</si>
  <si>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</si>
  <si>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</si>
  <si>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</si>
  <si>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</si>
  <si>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</si>
  <si>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</si>
  <si>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</si>
  <si>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</si>
  <si>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</si>
  <si>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</si>
  <si>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</si>
  <si>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</si>
  <si>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</si>
  <si>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</si>
  <si>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</si>
  <si>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</si>
  <si>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</si>
  <si>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</si>
  <si>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</si>
  <si>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</si>
  <si>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</si>
  <si>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</si>
  <si>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</si>
  <si>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</si>
  <si>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</si>
  <si>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</si>
  <si>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</si>
  <si>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</si>
  <si>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</si>
  <si>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</si>
  <si>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</si>
  <si>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</si>
  <si>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</si>
  <si>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</si>
  <si>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</si>
  <si>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</si>
  <si>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</si>
  <si>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</si>
  <si>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</si>
  <si>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</si>
  <si>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</si>
  <si>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</si>
  <si>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</si>
  <si>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</si>
  <si>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</si>
  <si>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</si>
  <si>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</si>
  <si>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</si>
  <si>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</si>
  <si>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</si>
  <si>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</si>
  <si>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</si>
  <si>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</si>
  <si>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</si>
  <si>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</si>
  <si>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</si>
  <si>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</si>
  <si>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</si>
  <si>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</si>
  <si>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</si>
  <si>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</si>
  <si>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</si>
  <si>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</si>
  <si>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</si>
  <si>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</si>
  <si>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</si>
  <si>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</si>
  <si>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</si>
  <si>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</si>
  <si>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</si>
  <si>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</si>
  <si>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</si>
  <si>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</si>
  <si>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</si>
  <si>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</si>
  <si>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</si>
  <si>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</si>
  <si>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</si>
  <si>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</si>
  <si>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</si>
  <si>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</si>
  <si>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</si>
  <si>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</si>
  <si>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</si>
  <si>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</si>
  <si>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</si>
  <si>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</si>
  <si>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</si>
  <si>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</si>
  <si>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</si>
  <si>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</si>
  <si>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</si>
  <si>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</si>
  <si>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</si>
  <si>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</si>
  <si>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</si>
  <si>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</si>
  <si>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</si>
  <si>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</si>
  <si>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</si>
  <si>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</si>
  <si>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</si>
  <si>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</si>
  <si>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</si>
  <si>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</si>
  <si>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</si>
  <si>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</si>
  <si>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</si>
  <si>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</si>
  <si>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</si>
  <si>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</si>
  <si>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</si>
  <si>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</si>
  <si>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</si>
  <si>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</si>
  <si>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</si>
  <si>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</si>
  <si>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</si>
  <si>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</si>
  <si>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</si>
  <si>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</si>
  <si>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</si>
  <si>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</si>
  <si>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</si>
  <si>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</si>
  <si>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</si>
  <si>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</si>
  <si>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</si>
  <si>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</si>
  <si>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</si>
  <si>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</si>
  <si>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</si>
  <si>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</si>
  <si>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</si>
  <si>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</si>
  <si>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</si>
  <si>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</si>
  <si>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</si>
  <si>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</si>
  <si>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</si>
  <si>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</si>
  <si>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</si>
  <si>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</si>
  <si>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</si>
  <si>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</si>
  <si>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</si>
  <si>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</si>
  <si>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</si>
  <si>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</si>
  <si>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</si>
  <si>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</si>
  <si>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</si>
  <si>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</si>
  <si>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</si>
  <si>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</si>
  <si>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</si>
  <si>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</si>
  <si>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</si>
  <si>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</si>
  <si>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</si>
  <si>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</si>
  <si>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</si>
  <si>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</si>
  <si>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</si>
  <si>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</si>
  <si>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</si>
  <si>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</si>
  <si>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</si>
  <si>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</si>
  <si>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</si>
  <si>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</si>
  <si>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</si>
  <si>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</si>
  <si>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</si>
  <si>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</si>
  <si>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</si>
  <si>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</si>
  <si>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</si>
  <si>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</si>
  <si>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</si>
  <si>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</si>
  <si>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</si>
  <si>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</si>
  <si>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</si>
  <si>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</si>
  <si>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</si>
  <si>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</si>
  <si>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</si>
  <si>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</si>
  <si>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</si>
  <si>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</si>
  <si>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</si>
  <si>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</si>
  <si>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</si>
  <si>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</si>
  <si>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</si>
  <si>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</si>
  <si>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</si>
  <si>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</si>
  <si>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</si>
  <si>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</si>
  <si>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</si>
  <si>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</si>
  <si>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</si>
  <si>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</si>
  <si>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</si>
  <si>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</si>
  <si>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</si>
  <si>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</si>
  <si>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</si>
  <si>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</si>
  <si>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</si>
  <si>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</si>
  <si>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</si>
  <si>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</si>
  <si>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</si>
  <si>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</si>
  <si>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</si>
  <si>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</si>
  <si>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</si>
  <si>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</si>
  <si>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</si>
  <si>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</si>
  <si>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</si>
  <si>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</si>
  <si>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</si>
  <si>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</si>
  <si>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</si>
  <si>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</si>
  <si>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</si>
  <si>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</si>
  <si>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</si>
  <si>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</si>
  <si>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</si>
  <si>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</si>
  <si>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</si>
  <si>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</si>
  <si>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</si>
  <si>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</si>
  <si>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</si>
  <si>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</si>
  <si>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</si>
  <si>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</si>
  <si>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</si>
  <si>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</si>
  <si>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</si>
  <si>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</si>
  <si>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</si>
  <si>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</si>
  <si>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</si>
  <si>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</si>
  <si>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</si>
  <si>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</si>
  <si>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</si>
  <si>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</si>
  <si>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</si>
  <si>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</si>
  <si>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</si>
  <si>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</si>
  <si>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</si>
  <si>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</si>
  <si>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</si>
  <si>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</si>
  <si>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</si>
  <si>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</si>
  <si>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</si>
  <si>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</si>
  <si>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</si>
  <si>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</si>
  <si>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</si>
  <si>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</si>
  <si>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</si>
  <si>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</si>
  <si>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</si>
  <si>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</si>
  <si>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</si>
  <si>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</si>
  <si>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</si>
  <si>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</si>
  <si>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</si>
  <si>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</si>
  <si>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</si>
  <si>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</si>
  <si>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</si>
  <si>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</si>
  <si>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</si>
  <si>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</si>
  <si>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</si>
  <si>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</si>
  <si>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</si>
  <si>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</si>
  <si>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</si>
  <si>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</si>
  <si>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</si>
  <si>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</si>
  <si>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</si>
  <si>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</si>
  <si>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</si>
  <si>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</si>
  <si>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</si>
  <si>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</si>
  <si>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</si>
  <si>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</si>
  <si>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</si>
  <si>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</si>
  <si>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</si>
  <si>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</si>
  <si>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</si>
  <si>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</si>
  <si>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</si>
  <si>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</si>
  <si>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</si>
  <si>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</si>
  <si>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</si>
  <si>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</si>
  <si>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</si>
  <si>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</si>
  <si>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</si>
  <si>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</si>
  <si>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</si>
  <si>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</si>
  <si>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</si>
  <si>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</si>
  <si>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</si>
  <si>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</si>
  <si>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</si>
  <si>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</si>
  <si>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</si>
  <si>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</si>
  <si>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</si>
  <si>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</si>
  <si>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</si>
  <si>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</si>
  <si>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</si>
  <si>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</si>
  <si>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</si>
  <si>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</si>
  <si>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</si>
  <si>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</si>
  <si>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</si>
  <si>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</si>
  <si>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</si>
  <si>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</si>
  <si>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</si>
  <si>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</si>
  <si>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</si>
  <si>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</si>
  <si>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</si>
  <si>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</si>
  <si>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</si>
  <si>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</si>
  <si>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</si>
  <si>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</si>
  <si>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</si>
  <si>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</si>
  <si>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</si>
  <si>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</si>
  <si>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</si>
  <si>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</si>
  <si>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</si>
  <si>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</si>
  <si>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</si>
  <si>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</si>
  <si>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</si>
  <si>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</si>
  <si>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</si>
  <si>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</si>
  <si>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</si>
  <si>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</si>
  <si>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</si>
  <si>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</si>
  <si>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</si>
  <si>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</si>
  <si>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</si>
  <si>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</si>
  <si>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</si>
  <si>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</si>
  <si>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</si>
  <si>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</si>
  <si>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</si>
  <si>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</si>
  <si>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</si>
  <si>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</si>
  <si>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</si>
  <si>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</si>
  <si>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</si>
  <si>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</si>
  <si>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</si>
  <si>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</si>
  <si>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</si>
  <si>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</si>
  <si>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</si>
  <si>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</si>
  <si>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</si>
  <si>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</si>
  <si>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</si>
  <si>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</si>
  <si>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</si>
  <si>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</si>
  <si>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</si>
  <si>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</si>
  <si>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</si>
  <si>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</si>
  <si>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</si>
  <si>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</si>
  <si>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</si>
  <si>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</si>
  <si>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</si>
  <si>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</si>
  <si>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</si>
  <si>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</si>
  <si>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</si>
  <si>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</si>
  <si>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</si>
  <si>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</si>
  <si>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</si>
  <si>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</si>
  <si>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</si>
  <si>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</si>
  <si>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</si>
  <si>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</si>
  <si>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</si>
  <si>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</si>
  <si>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Vogt AG Verbindungstechnik</t>
  </si>
  <si>
    <t>CHE-105.962.852 / DUNS-N° 480254200</t>
  </si>
  <si>
    <t>Qualitätsmanagement</t>
  </si>
  <si>
    <t>Duschletenstrasse 2-4; 4654 Lostorf; CH Switzerland</t>
  </si>
  <si>
    <t>Adolfo Esposito</t>
  </si>
  <si>
    <t>a.esposito@vogt.ch</t>
  </si>
  <si>
    <t>+41 62 285 74 48</t>
  </si>
  <si>
    <t xml:space="preserve">Manager Environment, Health &amp; Safety </t>
  </si>
  <si>
    <t>100%</t>
  </si>
  <si>
    <t xml:space="preserve">https://www.vogt.ch/en/Downloads/Certificates </t>
  </si>
  <si>
    <t>(documentation review only)</t>
  </si>
  <si>
    <t>If we detect a deviation we use the same processe , as we use for audit.</t>
  </si>
  <si>
    <t>Luna Smelter, Ltd. (CID003387), Rwanda; all smelters conformant.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</si>
</sst>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esposito@vogt.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vogt.ch/en/Downloads/Certificates" TargetMode="External"/><Relationship Id="rId4" Type="http://schemas.openxmlformats.org/officeDocument/2006/relationships/hyperlink" Target="mailto:a.esposito@vogt.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F66" sqref="F66"/>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75">
      <c r="A4" s="309"/>
      <c r="B4" s="27" t="s">
        <v>809</v>
      </c>
      <c r="C4" s="5"/>
      <c r="D4" s="161"/>
      <c r="E4" s="2"/>
      <c r="F4" s="5"/>
      <c r="G4" s="24"/>
    </row>
    <row r="5" spans="1:7">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3.75">
      <c r="A13" s="309"/>
      <c r="B13" s="275">
        <v>1</v>
      </c>
      <c r="C13" s="276" t="s">
        <v>1046</v>
      </c>
      <c r="D13" s="277" t="s">
        <v>836</v>
      </c>
      <c r="E13" s="278" t="s">
        <v>813</v>
      </c>
      <c r="F13" s="278"/>
      <c r="G13" s="24"/>
    </row>
    <row r="14" spans="1:7" ht="56.25">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0000000000001" customHeight="1">
      <c r="A28" s="309"/>
      <c r="B28" s="298"/>
      <c r="C28" s="295"/>
      <c r="D28" s="316"/>
      <c r="E28" s="307"/>
      <c r="F28" s="280" t="s">
        <v>56</v>
      </c>
      <c r="G28" s="24"/>
    </row>
    <row r="29" spans="1:7" ht="74.45" customHeight="1">
      <c r="A29" s="309"/>
      <c r="B29" s="298"/>
      <c r="C29" s="295"/>
      <c r="D29" s="316"/>
      <c r="E29" s="307"/>
      <c r="F29" s="280" t="s">
        <v>57</v>
      </c>
      <c r="G29" s="24"/>
    </row>
    <row r="30" spans="1:7" ht="62.4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4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47">
      <c r="A36" s="309"/>
      <c r="B36" s="299"/>
      <c r="C36" s="296"/>
      <c r="D36" s="317"/>
      <c r="E36" s="308"/>
      <c r="F36" s="282" t="s">
        <v>65</v>
      </c>
      <c r="G36" s="24"/>
    </row>
    <row r="37" spans="1:7" ht="157.5">
      <c r="A37" s="309"/>
      <c r="B37" s="281">
        <v>3.01</v>
      </c>
      <c r="C37" s="283" t="s">
        <v>66</v>
      </c>
      <c r="D37" s="277" t="s">
        <v>2155</v>
      </c>
      <c r="E37" s="284" t="s">
        <v>1282</v>
      </c>
      <c r="F37" s="285" t="s">
        <v>1384</v>
      </c>
      <c r="G37" s="24"/>
    </row>
    <row r="38" spans="1:7" ht="146.25">
      <c r="A38" s="309"/>
      <c r="B38" s="281">
        <v>3.02</v>
      </c>
      <c r="C38" s="283" t="s">
        <v>1314</v>
      </c>
      <c r="D38" s="277" t="s">
        <v>2156</v>
      </c>
      <c r="E38" s="284" t="s">
        <v>1329</v>
      </c>
      <c r="F38" s="285" t="s">
        <v>1385</v>
      </c>
      <c r="G38" s="24"/>
    </row>
    <row r="39" spans="1:7" ht="112.5">
      <c r="A39" s="309"/>
      <c r="B39" s="286">
        <v>4</v>
      </c>
      <c r="C39" s="287" t="s">
        <v>1480</v>
      </c>
      <c r="D39" s="277" t="s">
        <v>2157</v>
      </c>
      <c r="E39" s="276" t="s">
        <v>2104</v>
      </c>
      <c r="F39" s="276" t="s">
        <v>1481</v>
      </c>
      <c r="G39" s="24"/>
    </row>
    <row r="40" spans="1:7" ht="67.5">
      <c r="A40" s="309"/>
      <c r="B40" s="281">
        <v>4.01</v>
      </c>
      <c r="C40" s="287" t="s">
        <v>1480</v>
      </c>
      <c r="D40" s="277" t="s">
        <v>2159</v>
      </c>
      <c r="E40" s="276" t="s">
        <v>2116</v>
      </c>
      <c r="F40" s="276" t="s">
        <v>2120</v>
      </c>
      <c r="G40" s="24"/>
    </row>
    <row r="41" spans="1:7" ht="67.5">
      <c r="A41" s="309"/>
      <c r="B41" s="281" t="s">
        <v>2146</v>
      </c>
      <c r="C41" s="287" t="s">
        <v>1480</v>
      </c>
      <c r="D41" s="277" t="s">
        <v>2158</v>
      </c>
      <c r="E41" s="276" t="s">
        <v>2149</v>
      </c>
      <c r="F41" s="276" t="s">
        <v>2147</v>
      </c>
      <c r="G41" s="24"/>
    </row>
    <row r="42" spans="1:7" ht="67.5">
      <c r="A42" s="309"/>
      <c r="B42" s="281" t="s">
        <v>2173</v>
      </c>
      <c r="C42" s="287" t="s">
        <v>1480</v>
      </c>
      <c r="D42" s="277" t="s">
        <v>2178</v>
      </c>
      <c r="E42" s="276" t="s">
        <v>2148</v>
      </c>
      <c r="F42" s="276" t="s">
        <v>2174</v>
      </c>
      <c r="G42" s="24"/>
    </row>
    <row r="43" spans="1:7" ht="191.25">
      <c r="A43" s="309"/>
      <c r="B43" s="288">
        <v>4.0999999999999996</v>
      </c>
      <c r="C43" s="287" t="s">
        <v>2177</v>
      </c>
      <c r="D43" s="289">
        <v>42867</v>
      </c>
      <c r="E43" s="290" t="s">
        <v>2180</v>
      </c>
      <c r="F43" s="276" t="s">
        <v>2179</v>
      </c>
      <c r="G43" s="24"/>
    </row>
    <row r="44" spans="1:7" ht="112.5">
      <c r="A44" s="309"/>
      <c r="B44" s="288">
        <v>4.2</v>
      </c>
      <c r="C44" s="287" t="s">
        <v>2177</v>
      </c>
      <c r="D44" s="289">
        <v>42704</v>
      </c>
      <c r="E44" s="290" t="s">
        <v>2369</v>
      </c>
      <c r="F44" s="276" t="s">
        <v>2344</v>
      </c>
      <c r="G44" s="24"/>
    </row>
    <row r="45" spans="1:7" ht="213.75">
      <c r="A45" s="309"/>
      <c r="B45" s="291">
        <v>5</v>
      </c>
      <c r="C45" s="287" t="s">
        <v>2177</v>
      </c>
      <c r="D45" s="289">
        <v>42867</v>
      </c>
      <c r="E45" s="290" t="s">
        <v>12256</v>
      </c>
      <c r="F45" s="276" t="s">
        <v>11978</v>
      </c>
      <c r="G45" s="24"/>
    </row>
    <row r="46" spans="1:7" ht="56.25">
      <c r="A46" s="309"/>
      <c r="B46" s="288">
        <v>5.01</v>
      </c>
      <c r="C46" s="287" t="s">
        <v>2177</v>
      </c>
      <c r="D46" s="289">
        <v>42907</v>
      </c>
      <c r="E46" s="290" t="s">
        <v>14886</v>
      </c>
      <c r="F46" s="276" t="s">
        <v>11978</v>
      </c>
      <c r="G46" s="24"/>
    </row>
    <row r="47" spans="1:7" ht="101.25">
      <c r="A47" s="309"/>
      <c r="B47" s="288">
        <v>5.0999999999999996</v>
      </c>
      <c r="C47" s="287" t="s">
        <v>2177</v>
      </c>
      <c r="D47" s="289">
        <v>43070</v>
      </c>
      <c r="E47" s="290" t="s">
        <v>12456</v>
      </c>
      <c r="F47" s="276" t="s">
        <v>12457</v>
      </c>
      <c r="G47" s="24"/>
    </row>
    <row r="48" spans="1:7" ht="90">
      <c r="A48" s="309"/>
      <c r="B48" s="288">
        <v>5.1100000000000003</v>
      </c>
      <c r="C48" s="287" t="s">
        <v>12684</v>
      </c>
      <c r="D48" s="289">
        <v>43217</v>
      </c>
      <c r="E48" s="290" t="s">
        <v>12786</v>
      </c>
      <c r="F48" s="276" t="s">
        <v>12711</v>
      </c>
      <c r="G48" s="24"/>
    </row>
    <row r="49" spans="1:7" ht="90">
      <c r="A49" s="309"/>
      <c r="B49" s="288">
        <v>5.12</v>
      </c>
      <c r="C49" s="287" t="s">
        <v>12684</v>
      </c>
      <c r="D49" s="289">
        <v>43581</v>
      </c>
      <c r="E49" s="290" t="s">
        <v>12786</v>
      </c>
      <c r="F49" s="276" t="s">
        <v>13315</v>
      </c>
      <c r="G49" s="24"/>
    </row>
    <row r="50" spans="1:7" ht="112.5">
      <c r="A50" s="309"/>
      <c r="B50" s="291">
        <v>6</v>
      </c>
      <c r="C50" s="287" t="s">
        <v>12684</v>
      </c>
      <c r="D50" s="289">
        <v>43964</v>
      </c>
      <c r="E50" s="290" t="s">
        <v>13527</v>
      </c>
      <c r="F50" s="276" t="s">
        <v>13318</v>
      </c>
      <c r="G50" s="24"/>
    </row>
    <row r="51" spans="1:7" ht="56.25">
      <c r="A51" s="309"/>
      <c r="B51" s="288">
        <v>6.01</v>
      </c>
      <c r="C51" s="287" t="s">
        <v>12684</v>
      </c>
      <c r="D51" s="289">
        <v>43970</v>
      </c>
      <c r="E51" s="290" t="s">
        <v>14887</v>
      </c>
      <c r="F51" s="290" t="s">
        <v>13318</v>
      </c>
      <c r="G51" s="24"/>
    </row>
    <row r="52" spans="1:7" ht="56.25">
      <c r="A52" s="309"/>
      <c r="B52" s="288">
        <v>6.1</v>
      </c>
      <c r="C52" s="287" t="s">
        <v>12684</v>
      </c>
      <c r="D52" s="289">
        <v>44314</v>
      </c>
      <c r="E52" s="290" t="s">
        <v>14880</v>
      </c>
      <c r="F52" s="290" t="s">
        <v>14487</v>
      </c>
      <c r="G52" s="24"/>
    </row>
    <row r="53" spans="1:7" ht="56.25">
      <c r="A53" s="309"/>
      <c r="B53" s="288">
        <v>6.2</v>
      </c>
      <c r="C53" s="287" t="s">
        <v>12684</v>
      </c>
      <c r="D53" s="289">
        <v>44678</v>
      </c>
      <c r="E53" s="290" t="s">
        <v>14880</v>
      </c>
      <c r="F53" s="290" t="s">
        <v>14879</v>
      </c>
      <c r="G53" s="24"/>
    </row>
    <row r="54" spans="1:7" ht="56.25">
      <c r="A54" s="309"/>
      <c r="B54" s="288">
        <v>6.21</v>
      </c>
      <c r="C54" s="287" t="s">
        <v>12684</v>
      </c>
      <c r="D54" s="289">
        <v>44687</v>
      </c>
      <c r="E54" s="290" t="s">
        <v>14888</v>
      </c>
      <c r="F54" s="290" t="s">
        <v>14879</v>
      </c>
      <c r="G54" s="24"/>
    </row>
    <row r="55" spans="1:7" ht="56.25">
      <c r="A55" s="309"/>
      <c r="B55" s="288">
        <v>6.22</v>
      </c>
      <c r="C55" s="287" t="s">
        <v>12684</v>
      </c>
      <c r="D55" s="292">
        <v>44692</v>
      </c>
      <c r="E55" s="290" t="s">
        <v>14887</v>
      </c>
      <c r="F55" s="290" t="s">
        <v>14879</v>
      </c>
      <c r="G55" s="24"/>
    </row>
    <row r="56" spans="1:7" ht="90">
      <c r="A56" s="309"/>
      <c r="B56" s="291">
        <v>6.3</v>
      </c>
      <c r="C56" s="287" t="s">
        <v>12684</v>
      </c>
      <c r="D56" s="292">
        <v>45051</v>
      </c>
      <c r="E56" s="290" t="s">
        <v>15144</v>
      </c>
      <c r="F56" s="290" t="s">
        <v>14925</v>
      </c>
      <c r="G56" s="24"/>
    </row>
    <row r="57" spans="1:7" ht="56.25">
      <c r="A57" s="309"/>
      <c r="B57" s="288">
        <v>6.31</v>
      </c>
      <c r="C57" s="287" t="s">
        <v>12684</v>
      </c>
      <c r="D57" s="292">
        <v>45072</v>
      </c>
      <c r="E57" s="290" t="s">
        <v>15146</v>
      </c>
      <c r="F57" s="290" t="s">
        <v>14925</v>
      </c>
      <c r="G57" s="24"/>
    </row>
    <row r="58" spans="1:7" ht="56.25">
      <c r="A58" s="309"/>
      <c r="B58" s="291">
        <v>6.4</v>
      </c>
      <c r="C58" s="287" t="s">
        <v>12684</v>
      </c>
      <c r="D58" s="292">
        <v>45408</v>
      </c>
      <c r="E58" s="290" t="s">
        <v>15148</v>
      </c>
      <c r="F58" s="290" t="s">
        <v>15147</v>
      </c>
      <c r="G58" s="24"/>
    </row>
    <row r="59" spans="1:7" ht="56.25">
      <c r="A59" s="309"/>
      <c r="B59" s="291">
        <v>6.5</v>
      </c>
      <c r="C59" s="287" t="s">
        <v>12684</v>
      </c>
      <c r="D59" s="292">
        <v>45772</v>
      </c>
      <c r="E59" s="290" t="s">
        <v>15217</v>
      </c>
      <c r="F59" s="290" t="s">
        <v>15259</v>
      </c>
      <c r="G59" s="24"/>
    </row>
    <row r="60" spans="1:7" ht="90">
      <c r="A60" s="309"/>
      <c r="B60" s="291">
        <v>6.6</v>
      </c>
      <c r="C60" s="287" t="s">
        <v>12684</v>
      </c>
      <c r="D60" s="292">
        <v>46129</v>
      </c>
      <c r="E60" s="290" t="s">
        <v>15870</v>
      </c>
      <c r="F60" s="293" t="s">
        <v>15352</v>
      </c>
      <c r="G60" s="24"/>
    </row>
    <row r="61" spans="1:7" ht="13.5" thickBot="1">
      <c r="A61" s="310"/>
      <c r="B61" s="311" t="str">
        <f ca="1">OFFSET(L!$C$1,MATCH("General"&amp;"Cpy",L!$A:$A,0)-1,SL,,)</f>
        <v>© 2026 Responsible Minerals Initiative. All rights reserved.</v>
      </c>
      <c r="C61" s="311"/>
      <c r="D61" s="311"/>
      <c r="E61" s="311"/>
      <c r="F61" s="31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F2928C4-5063-4BA6-B1B4-8DDF12A836F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FDA23BF-224D-4415-B24C-61450CCF57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8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45">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45">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50">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60">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21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5">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9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C7" sqref="C7"/>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75">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75"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75">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31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5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75">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255">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5">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9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10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15886</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15884</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15885</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46154</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473</v>
      </c>
      <c r="E39" s="328"/>
      <c r="F39" s="44"/>
      <c r="G39" s="335" t="s">
        <v>15891</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474</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15887</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69" t="s">
        <v>15887</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15888</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t="s">
        <v>15889</v>
      </c>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t="s">
        <v>15890</v>
      </c>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1.5">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4" priority="164" stopIfTrue="1">
      <formula>IF($D$22="",TRUE)</formula>
    </cfRule>
  </conditionalFormatting>
  <conditionalFormatting sqref="D26:E26">
    <cfRule type="expression" dxfId="83" priority="142" stopIfTrue="1">
      <formula>IF($D$26="",TRUE)</formula>
    </cfRule>
  </conditionalFormatting>
  <conditionalFormatting sqref="D27:E27">
    <cfRule type="expression" dxfId="82" priority="149" stopIfTrue="1">
      <formula>IF($D$27="",TRUE)</formula>
    </cfRule>
  </conditionalFormatting>
  <conditionalFormatting sqref="D28:E28">
    <cfRule type="expression" dxfId="81" priority="150" stopIfTrue="1">
      <formula>IF($D$28="",TRUE)</formula>
    </cfRule>
  </conditionalFormatting>
  <conditionalFormatting sqref="D29:E29">
    <cfRule type="expression" dxfId="80" priority="151" stopIfTrue="1">
      <formula>IF($D$29="",TRUE)</formula>
    </cfRule>
  </conditionalFormatting>
  <conditionalFormatting sqref="D32:E32">
    <cfRule type="expression" dxfId="79" priority="60" stopIfTrue="1">
      <formula>IF(AND(OR($D$26="Yes",$D$26=""),$D$32=""),1,0)</formula>
    </cfRule>
    <cfRule type="expression" dxfId="78" priority="147" stopIfTrue="1">
      <formula>$P$26=""</formula>
    </cfRule>
  </conditionalFormatting>
  <conditionalFormatting sqref="D33:E33">
    <cfRule type="expression" dxfId="77" priority="48" stopIfTrue="1">
      <formula>$P$27=""</formula>
    </cfRule>
    <cfRule type="expression" dxfId="76" priority="47" stopIfTrue="1">
      <formula>IF(AND(OR($D$27="Yes",$D$27=""),$D$33=""),1,0)</formula>
    </cfRule>
  </conditionalFormatting>
  <conditionalFormatting sqref="D34:E34">
    <cfRule type="expression" dxfId="75" priority="6" stopIfTrue="1">
      <formula>IF(AND(OR($D$28="Yes",$D$28=""),$D$34=""),1,0)</formula>
    </cfRule>
    <cfRule type="expression" dxfId="74" priority="7" stopIfTrue="1">
      <formula>$P$28=""</formula>
    </cfRule>
  </conditionalFormatting>
  <conditionalFormatting sqref="D35:E35">
    <cfRule type="expression" dxfId="73" priority="44" stopIfTrue="1">
      <formula>IF(AND(OR($D$29="Yes",$D$29=""),$D$35=""),1,0)</formula>
    </cfRule>
    <cfRule type="expression" dxfId="72" priority="168" stopIfTrue="1">
      <formula>$P$29=""</formula>
    </cfRule>
  </conditionalFormatting>
  <conditionalFormatting sqref="D38:E38 D44:E44 D50:E50 D56:E56 D62:E62 D68:E68">
    <cfRule type="expression" dxfId="71" priority="23" stopIfTrue="1">
      <formula>$P$26=""</formula>
    </cfRule>
    <cfRule type="expression" dxfId="70" priority="24" stopIfTrue="1">
      <formula>$P$32=""</formula>
    </cfRule>
  </conditionalFormatting>
  <conditionalFormatting sqref="D38:E38">
    <cfRule type="expression" dxfId="69" priority="59" stopIfTrue="1">
      <formula>IF(AND(OR($D$26="Yes",$D$26=""),OR($D$32="Yes",$D$32=""),D38=""),1,0)</formula>
    </cfRule>
  </conditionalFormatting>
  <conditionalFormatting sqref="D39:E39 D45:E45 D51:E51 D57:E57 D63:E63 D69:E69">
    <cfRule type="expression" dxfId="68" priority="17" stopIfTrue="1">
      <formula>$P$33=""</formula>
    </cfRule>
    <cfRule type="expression" dxfId="67" priority="18" stopIfTrue="1">
      <formula>$P$39=""</formula>
    </cfRule>
  </conditionalFormatting>
  <conditionalFormatting sqref="D39:E39">
    <cfRule type="expression" dxfId="66" priority="55" stopIfTrue="1">
      <formula>IF(AND(OR($D$27="Yes",$D$27=""),OR($D$33="Yes",$D$33=""),D39=""),1,0)</formula>
    </cfRule>
  </conditionalFormatting>
  <conditionalFormatting sqref="D40:E40 D46:E46 D52:E52 D58:E58 D64:E64 D70:E70">
    <cfRule type="expression" dxfId="65" priority="12" stopIfTrue="1">
      <formula>$P$28=""</formula>
    </cfRule>
    <cfRule type="expression" dxfId="64" priority="13" stopIfTrue="1">
      <formula>$P$34=""</formula>
    </cfRule>
  </conditionalFormatting>
  <conditionalFormatting sqref="D40:E40">
    <cfRule type="expression" dxfId="63" priority="54" stopIfTrue="1">
      <formula>IF(AND(OR($D$28="Yes",$D$28=""),OR($D$34="Yes",$D$34=""),D40=""),1,0)</formula>
    </cfRule>
  </conditionalFormatting>
  <conditionalFormatting sqref="D41:E41 D47:E47 D53:E53 D59:E59 D65:E65 D71:E71">
    <cfRule type="expression" dxfId="62" priority="8" stopIfTrue="1">
      <formula>$P$29=""</formula>
    </cfRule>
    <cfRule type="expression" dxfId="61" priority="9" stopIfTrue="1">
      <formula>$P$35=""</formula>
    </cfRule>
  </conditionalFormatting>
  <conditionalFormatting sqref="D41:E41">
    <cfRule type="expression" dxfId="60" priority="170" stopIfTrue="1">
      <formula>IF(AND(OR($D$29="Yes",$D$29=""),OR($D$35="Yes",$D$35=""),D41=""),1,0)</formula>
    </cfRule>
  </conditionalFormatting>
  <conditionalFormatting sqref="D44:E44">
    <cfRule type="expression" dxfId="59" priority="58" stopIfTrue="1">
      <formula>IF(AND(OR($D$26="Yes",$D$26=""),OR($D$32="Yes",$D$32=""),D44=""),1,0)</formula>
    </cfRule>
  </conditionalFormatting>
  <conditionalFormatting sqref="D45:E45">
    <cfRule type="expression" dxfId="58" priority="20" stopIfTrue="1">
      <formula>IF(AND(OR($D$27="Yes",$D$27=""),OR($D$33="Yes",$D$33=""),D45=""),1,0)</formula>
    </cfRule>
  </conditionalFormatting>
  <conditionalFormatting sqref="D46:E46">
    <cfRule type="expression" dxfId="57" priority="45" stopIfTrue="1">
      <formula>IF(AND(OR($D$28="Yes",$D$28=""),OR($D$34="Yes",$D$34=""),D46=""),1,0)</formula>
    </cfRule>
  </conditionalFormatting>
  <conditionalFormatting sqref="D47:E47">
    <cfRule type="expression" dxfId="56" priority="53" stopIfTrue="1">
      <formula>IF(AND(OR($D$29="Yes",$D$29=""),OR($D$35="Yes",$D$35=""),D47=""),1,0)</formula>
    </cfRule>
  </conditionalFormatting>
  <conditionalFormatting sqref="D50:E50">
    <cfRule type="expression" dxfId="55" priority="26" stopIfTrue="1">
      <formula>IF(AND(OR($D$26="Yes",$D$26=""),OR($D$32="Yes",$D$32=""),D50=""),1,0)</formula>
    </cfRule>
  </conditionalFormatting>
  <conditionalFormatting sqref="D51:E51">
    <cfRule type="expression" dxfId="54" priority="165" stopIfTrue="1">
      <formula>IF(AND(OR($D$27="Yes",$D$27=""),OR($D$33="Yes",$D$33=""),D51=""),1,0)</formula>
    </cfRule>
  </conditionalFormatting>
  <conditionalFormatting sqref="D52:E52">
    <cfRule type="expression" dxfId="53" priority="16" stopIfTrue="1">
      <formula>IF(AND(OR($D$28="Yes",$D$28=""),OR($D$34="Yes",$D$34=""),D52=""),1,0)</formula>
    </cfRule>
  </conditionalFormatting>
  <conditionalFormatting sqref="D53:E53">
    <cfRule type="expression" dxfId="52" priority="39" stopIfTrue="1">
      <formula>IF(AND(OR($D$29="Yes",$D$29=""),OR($D$35="Yes",$D$35=""),D53=""),1,0)</formula>
    </cfRule>
  </conditionalFormatting>
  <conditionalFormatting sqref="D56:E56">
    <cfRule type="expression" dxfId="51" priority="34" stopIfTrue="1">
      <formula>IF(AND(OR($D$26="Yes",$D$26=""),OR($D$32="Yes",$D$32=""),D56=""),1,0)</formula>
    </cfRule>
  </conditionalFormatting>
  <conditionalFormatting sqref="D57:E57">
    <cfRule type="expression" dxfId="50" priority="22" stopIfTrue="1">
      <formula>IF(AND(OR($D$27="Yes",$D$27=""),OR($D$33="Yes",$D$33=""),D57=""),1,0)</formula>
    </cfRule>
  </conditionalFormatting>
  <conditionalFormatting sqref="D58:E58">
    <cfRule type="expression" dxfId="49" priority="15" stopIfTrue="1">
      <formula>IF(AND(OR($D$28="Yes",$D$28=""),OR($D$34="Yes",$D$34=""),D58=""),1,0)</formula>
    </cfRule>
  </conditionalFormatting>
  <conditionalFormatting sqref="D59:E59">
    <cfRule type="expression" dxfId="48" priority="11" stopIfTrue="1">
      <formula>IF(AND(OR($D$29="Yes",$D$29=""),OR($D$35="Yes",$D$35=""),D59=""),1,0)</formula>
    </cfRule>
  </conditionalFormatting>
  <conditionalFormatting sqref="D62:E62">
    <cfRule type="expression" dxfId="47" priority="33" stopIfTrue="1">
      <formula>IF(AND(OR($D$26="Yes",$D$26=""),OR($D$32="Yes",$D$32=""),D62=""),1,0)</formula>
    </cfRule>
  </conditionalFormatting>
  <conditionalFormatting sqref="D63:E63">
    <cfRule type="expression" dxfId="46" priority="19" stopIfTrue="1">
      <formula>IF(AND(OR($D$27="Yes",$D$27=""),OR($D$33="Yes",$D$33=""),D63=""),1,0)</formula>
    </cfRule>
  </conditionalFormatting>
  <conditionalFormatting sqref="D64:E64">
    <cfRule type="expression" dxfId="45" priority="14" stopIfTrue="1">
      <formula>IF(AND(OR($D$28="Yes",$D$28=""),OR($D$34="Yes",$D$34=""),D64=""),1,0)</formula>
    </cfRule>
  </conditionalFormatting>
  <conditionalFormatting sqref="D65:E65">
    <cfRule type="expression" dxfId="44" priority="10" stopIfTrue="1">
      <formula>IF(AND(OR($D$29="Yes",$D$29=""),OR($D$35="Yes",$D$35=""),D65=""),1,0)</formula>
    </cfRule>
  </conditionalFormatting>
  <conditionalFormatting sqref="D68:E68">
    <cfRule type="expression" dxfId="43" priority="25" stopIfTrue="1">
      <formula>IF(AND(OR($D$26="Yes",$D$26=""),OR($D$32="Yes",$D$32=""),D68=""),1,0)</formula>
    </cfRule>
  </conditionalFormatting>
  <conditionalFormatting sqref="D69:E69">
    <cfRule type="expression" dxfId="42" priority="21" stopIfTrue="1">
      <formula>IF(AND(OR($D$27="Yes",$D$27=""),OR($D$33="Yes",$D$33=""),D69=""),1,0)</formula>
    </cfRule>
  </conditionalFormatting>
  <conditionalFormatting sqref="D70:E70">
    <cfRule type="expression" dxfId="41" priority="167" stopIfTrue="1">
      <formula>IF(AND(OR($D$28="Yes",$D$28=""),OR($D$34="Yes",$D$34=""),D70=""),1,0)</formula>
    </cfRule>
  </conditionalFormatting>
  <conditionalFormatting sqref="D71:E71">
    <cfRule type="expression" dxfId="40" priority="169" stopIfTrue="1">
      <formula>IF(AND(OR($D$29="Yes",$D$29=""),OR($D$35="Yes",$D$35=""),D71=""),1,0)</formula>
    </cfRule>
  </conditionalFormatting>
  <conditionalFormatting sqref="D75:E75 D77:E77 D79:E79 D81:E81 D83 D85:E85 D87:E87 D89:E89">
    <cfRule type="expression" dxfId="39" priority="90" stopIfTrue="1">
      <formula>AND(OR($D$26="No",AND($D$26="Yes",$D$32="No")),OR($D$27="No",AND($D$27="Yes",$D$33="No")),OR($D$28="No",AND($D$28="Yes",$D$34="No")),OR($D$29="No",AND($D$29="Yes",$D$35="No")))</formula>
    </cfRule>
    <cfRule type="expression" dxfId="38" priority="91" stopIfTrue="1">
      <formula>IF(D75="",TRUE)</formula>
    </cfRule>
  </conditionalFormatting>
  <conditionalFormatting sqref="D9:G9">
    <cfRule type="expression" dxfId="37" priority="157" stopIfTrue="1">
      <formula>IF($D$9="",TRUE)</formula>
    </cfRule>
  </conditionalFormatting>
  <conditionalFormatting sqref="D8:J8">
    <cfRule type="expression" dxfId="36" priority="156" stopIfTrue="1">
      <formula>IF($D$8="",TRUE)</formula>
    </cfRule>
  </conditionalFormatting>
  <conditionalFormatting sqref="D10:J10">
    <cfRule type="expression" dxfId="35" priority="171" stopIfTrue="1">
      <formula>IF(AND($D$10="",$D$9=$R$9),TRUE)</formula>
    </cfRule>
    <cfRule type="expression" dxfId="34" priority="61" stopIfTrue="1">
      <formula>IF($D$9=$Q$9,TRUE)</formula>
    </cfRule>
  </conditionalFormatting>
  <conditionalFormatting sqref="G77:J77">
    <cfRule type="expression" dxfId="33" priority="62" stopIfTrue="1">
      <formula>IF(AND($D$77="Yes",$G$77=""),TRUE)</formula>
    </cfRule>
  </conditionalFormatting>
  <conditionalFormatting sqref="G85:J85">
    <cfRule type="expression" dxfId="32" priority="52" stopIfTrue="1">
      <formula>IF(AND($D$85="Yes, using other format (describe)",$G$85=""),TRUE)</formula>
    </cfRule>
  </conditionalFormatting>
  <conditionalFormatting sqref="D15:J15">
    <cfRule type="expression" dxfId="31" priority="3" stopIfTrue="1">
      <formula>IF($D$15="",TRUE)</formula>
    </cfRule>
  </conditionalFormatting>
  <conditionalFormatting sqref="D16:J16">
    <cfRule type="expression" dxfId="30" priority="4" stopIfTrue="1">
      <formula>IF($D$16="",TRUE)</formula>
    </cfRule>
  </conditionalFormatting>
  <conditionalFormatting sqref="D17:J17">
    <cfRule type="expression" dxfId="29" priority="2" stopIfTrue="1">
      <formula>IF($D$17="",TRUE)</formula>
    </cfRule>
  </conditionalFormatting>
  <conditionalFormatting sqref="D18:J18">
    <cfRule type="expression" dxfId="28" priority="5" stopIfTrue="1">
      <formula>IF($D$18="",TRUE)</formula>
    </cfRule>
  </conditionalFormatting>
  <conditionalFormatting sqref="D20:J20">
    <cfRule type="expression" dxfId="27" priority="1"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F8BDC9-5611-4BFF-A064-EB8D568C6BD8}"/>
    <hyperlink ref="D20" r:id="rId4" xr:uid="{90B22E0B-ED34-4958-930D-D5E5386C1E75}"/>
    <hyperlink ref="G77" r:id="rId5" xr:uid="{04EDA93A-A362-4DB4-AC20-E870EFD21DA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5" zoomScaleNormal="85" zoomScalePageLayoutView="55" workbookViewId="0">
      <selection activeCell="E41" sqref="E41"/>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744</v>
      </c>
      <c r="B5" s="166" t="s">
        <v>1088</v>
      </c>
      <c r="C5" s="170" t="s">
        <v>992</v>
      </c>
      <c r="D5" s="213"/>
      <c r="E5" s="166" t="s">
        <v>840</v>
      </c>
      <c r="F5" s="166" t="s">
        <v>744</v>
      </c>
      <c r="G5" s="166" t="s">
        <v>12764</v>
      </c>
      <c r="H5" s="167">
        <v>0</v>
      </c>
      <c r="I5" s="168" t="s">
        <v>1702</v>
      </c>
      <c r="J5" s="168" t="s">
        <v>8699</v>
      </c>
      <c r="K5" s="207"/>
      <c r="L5" s="207"/>
      <c r="M5" s="207"/>
      <c r="N5" s="207"/>
      <c r="O5" s="207"/>
      <c r="P5" s="169"/>
      <c r="Q5" s="208"/>
      <c r="R5" s="166" t="str">
        <f ca="1">IF(ISERROR($V5),"",OFFSET('Smelter Look-up'!$C$4,$V5-4,0)&amp;"")</f>
        <v>Minsur</v>
      </c>
      <c r="S5" s="165" t="str">
        <f ca="1">IF(B5="","",IF(ISERROR(MATCH($E5,CL,0)),"Unknown",INDIRECT("'C'!$A$"&amp;MATCH($E5,CL,0)+1)))</f>
        <v>PE</v>
      </c>
      <c r="T5" s="165" t="str">
        <f ca="1">IF(B5="","",IF(ISERROR(MATCH($J5,SorP!$B$1:$B$6261,0)),"",INDIRECT("'SorP'!$A$"&amp;MATCH($S5&amp;$J5,SorP!C:C,0))))</f>
        <v>PE-ICA</v>
      </c>
      <c r="U5" s="185"/>
      <c r="V5" s="209">
        <f>IF(C5="",NA(),IF(OR(C5="Smelter not listed",C5="Smelter not yet identified"),MATCH($B5&amp;$D5,'Smelter Look-up'!$J:$J,0),MATCH($B5&amp;$C5,'Smelter Look-up'!$J:$J,0)))</f>
        <v>503</v>
      </c>
      <c r="X5" s="210">
        <f t="shared" ref="X5" si="0">IF(AND(C5="Smelter not listed",OR(LEN(D5)=0,LEN(E5)=0)),1,0)</f>
        <v>0</v>
      </c>
      <c r="AB5" s="211" t="str">
        <f t="shared" ref="AB5" si="1">B5&amp;C5</f>
        <v>TinMinsur</v>
      </c>
    </row>
    <row r="6" spans="1:34" s="210" customFormat="1" ht="20.100000000000001" customHeight="1">
      <c r="A6" s="245" t="s">
        <v>753</v>
      </c>
      <c r="B6" s="166" t="str">
        <f ca="1">IF(LEN(A6)=0,"",INDEX('Smelter Look-up'!$A:$A,MATCH($A6,'Smelter Look-up'!$E:$E,0)))</f>
        <v>Tin</v>
      </c>
      <c r="C6" s="170" t="str">
        <f ca="1">IF(LEN(A6)=0,"",INDEX('Smelter Look-up'!$C:$C,MATCH($A6,'Smelter Look-up'!$E:$E,0)))</f>
        <v>Thaisarco</v>
      </c>
      <c r="D6" s="213"/>
      <c r="E6" s="166" t="str">
        <f ca="1">IF(ISERROR($V6),"",OFFSET('Smelter Look-up'!$D$4,$V6-4,0)&amp;"")</f>
        <v>THAILAND</v>
      </c>
      <c r="F6" s="166" t="str">
        <f ca="1">IF(ISERROR($V6),"",OFFSET('Smelter Look-up'!$E$4,$V6-4,0))</f>
        <v>CID001898</v>
      </c>
      <c r="G6" s="166" t="str">
        <f ca="1">IF(C6=$X$4,IF(ISERROR($V6),"Enter smelter details","RMI"),IF(ISERROR($V6),"",OFFSET('Smelter Look-up'!$F$4,$V6-4,0)))</f>
        <v>RMI</v>
      </c>
      <c r="H6" s="167">
        <f ca="1">IF(ISERROR($V6),"",OFFSET('Smelter Look-up'!$G$4,$V6-4,0))</f>
        <v>0</v>
      </c>
      <c r="I6" s="168" t="str">
        <f ca="1">IF(ISERROR($V6),"",OFFSET('Smelter Look-up'!$H$4,$V6-4,0))</f>
        <v>Amphur Muang</v>
      </c>
      <c r="J6" s="168" t="str">
        <f ca="1">IF(ISERROR($V6),"",OFFSET('Smelter Look-up'!$I$4,$V6-4,0))</f>
        <v>Phuket</v>
      </c>
      <c r="K6" s="207"/>
      <c r="L6" s="207"/>
      <c r="M6" s="207"/>
      <c r="N6" s="207"/>
      <c r="O6" s="207"/>
      <c r="P6" s="169"/>
      <c r="Q6" s="208"/>
      <c r="R6" s="166" t="str">
        <f ca="1">IF(ISERROR($V6),"",OFFSET('Smelter Look-up'!$C$4,$V6-4,0)&amp;"")</f>
        <v>Thaisarco</v>
      </c>
      <c r="S6" s="165" t="str">
        <f t="shared" ref="S6:S37" ca="1" si="2">IF(B6="","",IF(ISERROR(MATCH($E6,CL,0)),"Unknown",INDIRECT("'C'!$A$"&amp;MATCH($E6,CL,0)+1)))</f>
        <v>TH</v>
      </c>
      <c r="T6" s="165" t="str">
        <f ca="1">IF(B6="","",IF(ISERROR(MATCH($J6,SorP!$B$1:$B$6261,0)),"",INDIRECT("'SorP'!$A$"&amp;MATCH($S6&amp;$J6,SorP!C:C,0))))</f>
        <v>TH-83</v>
      </c>
      <c r="U6" s="185"/>
      <c r="V6" s="209">
        <f ca="1">IF(C6="",NA(),IF(OR(C6="Smelter not listed",C6="Smelter not yet identified"),MATCH($B6&amp;$D6,'Smelter Look-up'!$J:$J,0),MATCH($B6&amp;$C6,'Smelter Look-up'!$J:$J,0)))</f>
        <v>543</v>
      </c>
      <c r="X6" s="210">
        <f t="shared" ref="X6:X37" ca="1" si="3">IF(AND(C6="Smelter not listed",OR(LEN(D6)=0,LEN(E6)=0)),1,0)</f>
        <v>0</v>
      </c>
      <c r="AB6" s="211" t="str">
        <f t="shared" ref="AB6:AB37" ca="1" si="4">B6&amp;C6</f>
        <v>TinThaisarco</v>
      </c>
    </row>
    <row r="7" spans="1:34" s="210" customFormat="1" ht="20.100000000000001" customHeight="1">
      <c r="A7" s="245" t="s">
        <v>631</v>
      </c>
      <c r="B7" s="166" t="str">
        <f ca="1">IF(LEN(A7)=0,"",INDEX('Smelter Look-up'!$A:$A,MATCH($A7,'Smelter Look-up'!$E:$E,0)))</f>
        <v>Gold</v>
      </c>
      <c r="C7" s="170" t="str">
        <f ca="1">IF(LEN(A7)=0,"",INDEX('Smelter Look-up'!$C:$C,MATCH($A7,'Smelter Look-up'!$E:$E,0)))</f>
        <v>Agosi AG</v>
      </c>
      <c r="D7" s="213"/>
      <c r="E7" s="166" t="str">
        <f ca="1">IF(ISERROR($V7),"",OFFSET('Smelter Look-up'!$D$4,$V7-4,0)&amp;"")</f>
        <v>GERMANY</v>
      </c>
      <c r="F7" s="166" t="str">
        <f ca="1">IF(ISERROR($V7),"",OFFSET('Smelter Look-up'!$E$4,$V7-4,0))</f>
        <v>CID000035</v>
      </c>
      <c r="G7" s="166" t="str">
        <f ca="1">IF(C7=$X$4,IF(ISERROR($V7),"Enter smelter details","RMI"),IF(ISERROR($V7),"",OFFSET('Smelter Look-up'!$F$4,$V7-4,0)))</f>
        <v>RMI</v>
      </c>
      <c r="H7" s="167">
        <f ca="1">IF(ISERROR($V7),"",OFFSET('Smelter Look-up'!$G$4,$V7-4,0))</f>
        <v>0</v>
      </c>
      <c r="I7" s="168" t="str">
        <f ca="1">IF(ISERROR($V7),"",OFFSET('Smelter Look-up'!$H$4,$V7-4,0))</f>
        <v>Pforzheim</v>
      </c>
      <c r="J7" s="168" t="str">
        <f ca="1">IF(ISERROR($V7),"",OFFSET('Smelter Look-up'!$I$4,$V7-4,0))</f>
        <v>Baden-Württemberg</v>
      </c>
      <c r="K7" s="207"/>
      <c r="L7" s="207"/>
      <c r="M7" s="207"/>
      <c r="N7" s="207"/>
      <c r="O7" s="207"/>
      <c r="P7" s="169"/>
      <c r="Q7" s="208"/>
      <c r="R7" s="166" t="str">
        <f ca="1">IF(ISERROR($V7),"",OFFSET('Smelter Look-up'!$C$4,$V7-4,0)&amp;"")</f>
        <v>Agosi AG</v>
      </c>
      <c r="S7" s="165" t="str">
        <f t="shared" ca="1" si="2"/>
        <v>DE</v>
      </c>
      <c r="T7" s="165" t="str">
        <f ca="1">IF(B7="","",IF(ISERROR(MATCH($J7,SorP!$B$1:$B$6261,0)),"",INDIRECT("'SorP'!$A$"&amp;MATCH($S7&amp;$J7,SorP!C:C,0))))</f>
        <v>DE-BW</v>
      </c>
      <c r="U7" s="185"/>
      <c r="V7" s="209">
        <f ca="1">IF(C7="",NA(),IF(OR(C7="Smelter not listed",C7="Smelter not yet identified"),MATCH($B7&amp;$D7,'Smelter Look-up'!$J:$J,0),MATCH($B7&amp;$C7,'Smelter Look-up'!$J:$J,0)))</f>
        <v>10</v>
      </c>
      <c r="X7" s="210">
        <f t="shared" ca="1" si="3"/>
        <v>0</v>
      </c>
      <c r="AB7" s="211" t="str">
        <f t="shared" ca="1" si="4"/>
        <v>GoldAgosi AG</v>
      </c>
    </row>
    <row r="8" spans="1:34" s="210" customFormat="1" ht="20.100000000000001" customHeight="1">
      <c r="A8" s="245" t="s">
        <v>652</v>
      </c>
      <c r="B8" s="166" t="str">
        <f ca="1">IF(LEN(A8)=0,"",INDEX('Smelter Look-up'!$A:$A,MATCH($A8,'Smelter Look-up'!$E:$E,0)))</f>
        <v>Gold</v>
      </c>
      <c r="C8" s="170" t="str">
        <f ca="1">IF(LEN(A8)=0,"",INDEX('Smelter Look-up'!$C:$C,MATCH($A8,'Smelter Look-up'!$E:$E,0)))</f>
        <v>Heimerle + Meule GmbH</v>
      </c>
      <c r="D8" s="213"/>
      <c r="E8" s="166" t="str">
        <f ca="1">IF(ISERROR($V8),"",OFFSET('Smelter Look-up'!$D$4,$V8-4,0)&amp;"")</f>
        <v>GERMANY</v>
      </c>
      <c r="F8" s="166" t="str">
        <f ca="1">IF(ISERROR($V8),"",OFFSET('Smelter Look-up'!$E$4,$V8-4,0))</f>
        <v>CID000694</v>
      </c>
      <c r="G8" s="166" t="str">
        <f ca="1">IF(C8=$X$4,IF(ISERROR($V8),"Enter smelter details","RMI"),IF(ISERROR($V8),"",OFFSET('Smelter Look-up'!$F$4,$V8-4,0)))</f>
        <v>RMI</v>
      </c>
      <c r="H8" s="167">
        <f ca="1">IF(ISERROR($V8),"",OFFSET('Smelter Look-up'!$G$4,$V8-4,0))</f>
        <v>0</v>
      </c>
      <c r="I8" s="168" t="str">
        <f ca="1">IF(ISERROR($V8),"",OFFSET('Smelter Look-up'!$H$4,$V8-4,0))</f>
        <v>Pforzheim</v>
      </c>
      <c r="J8" s="168" t="str">
        <f ca="1">IF(ISERROR($V8),"",OFFSET('Smelter Look-up'!$I$4,$V8-4,0))</f>
        <v>Baden-Württemberg</v>
      </c>
      <c r="K8" s="207"/>
      <c r="L8" s="207"/>
      <c r="M8" s="207"/>
      <c r="N8" s="207"/>
      <c r="O8" s="207"/>
      <c r="P8" s="169"/>
      <c r="Q8" s="208"/>
      <c r="R8" s="166" t="str">
        <f ca="1">IF(ISERROR($V8),"",OFFSET('Smelter Look-up'!$C$4,$V8-4,0)&amp;"")</f>
        <v>Heimerle + Meule GmbH</v>
      </c>
      <c r="S8" s="165" t="str">
        <f t="shared" ca="1" si="2"/>
        <v>DE</v>
      </c>
      <c r="T8" s="165" t="str">
        <f ca="1">IF(B8="","",IF(ISERROR(MATCH($J8,SorP!$B$1:$B$6261,0)),"",INDIRECT("'SorP'!$A$"&amp;MATCH($S8&amp;$J8,SorP!C:C,0))))</f>
        <v>DE-BW</v>
      </c>
      <c r="U8" s="185"/>
      <c r="V8" s="209">
        <f ca="1">IF(C8="",NA(),IF(OR(C8="Smelter not listed",C8="Smelter not yet identified"),MATCH($B8&amp;$D8,'Smelter Look-up'!$J:$J,0),MATCH($B8&amp;$C8,'Smelter Look-up'!$J:$J,0)))</f>
        <v>117</v>
      </c>
      <c r="X8" s="210">
        <f t="shared" ca="1" si="3"/>
        <v>0</v>
      </c>
      <c r="AB8" s="211" t="str">
        <f t="shared" ca="1" si="4"/>
        <v>GoldHeimerle + Meule GmbH</v>
      </c>
    </row>
    <row r="9" spans="1:34" s="210" customFormat="1" ht="20.100000000000001" customHeight="1">
      <c r="A9" s="245" t="s">
        <v>654</v>
      </c>
      <c r="B9" s="166" t="str">
        <f ca="1">IF(LEN(A9)=0,"",INDEX('Smelter Look-up'!$A:$A,MATCH($A9,'Smelter Look-up'!$E:$E,0)))</f>
        <v>Gold</v>
      </c>
      <c r="C9" s="170" t="str">
        <f ca="1">IF(LEN(A9)=0,"",INDEX('Smelter Look-up'!$C:$C,MATCH($A9,'Smelter Look-up'!$E:$E,0)))</f>
        <v>Heraeus Germany GmbH Co. KG</v>
      </c>
      <c r="D9" s="213"/>
      <c r="E9" s="166" t="str">
        <f ca="1">IF(ISERROR($V9),"",OFFSET('Smelter Look-up'!$D$4,$V9-4,0)&amp;"")</f>
        <v>GERMANY</v>
      </c>
      <c r="F9" s="166" t="str">
        <f ca="1">IF(ISERROR($V9),"",OFFSET('Smelter Look-up'!$E$4,$V9-4,0))</f>
        <v>CID000711</v>
      </c>
      <c r="G9" s="166" t="str">
        <f ca="1">IF(C9=$X$4,IF(ISERROR($V9),"Enter smelter details","RMI"),IF(ISERROR($V9),"",OFFSET('Smelter Look-up'!$F$4,$V9-4,0)))</f>
        <v>RMI</v>
      </c>
      <c r="H9" s="167">
        <f ca="1">IF(ISERROR($V9),"",OFFSET('Smelter Look-up'!$G$4,$V9-4,0))</f>
        <v>0</v>
      </c>
      <c r="I9" s="168" t="str">
        <f ca="1">IF(ISERROR($V9),"",OFFSET('Smelter Look-up'!$H$4,$V9-4,0))</f>
        <v>Hanau</v>
      </c>
      <c r="J9" s="168" t="str">
        <f ca="1">IF(ISERROR($V9),"",OFFSET('Smelter Look-up'!$I$4,$V9-4,0))</f>
        <v>Hessen</v>
      </c>
      <c r="K9" s="207"/>
      <c r="L9" s="207"/>
      <c r="M9" s="207"/>
      <c r="N9" s="207"/>
      <c r="O9" s="207"/>
      <c r="P9" s="169"/>
      <c r="Q9" s="208"/>
      <c r="R9" s="166" t="str">
        <f ca="1">IF(ISERROR($V9),"",OFFSET('Smelter Look-up'!$C$4,$V9-4,0)&amp;"")</f>
        <v>Heraeus Germany GmbH Co. KG</v>
      </c>
      <c r="S9" s="165" t="str">
        <f t="shared" ca="1" si="2"/>
        <v>DE</v>
      </c>
      <c r="T9" s="165" t="str">
        <f ca="1">IF(B9="","",IF(ISERROR(MATCH($J9,SorP!$B$1:$B$6261,0)),"",INDIRECT("'SorP'!$A$"&amp;MATCH($S9&amp;$J9,SorP!C:C,0))))</f>
        <v>DE-HE</v>
      </c>
      <c r="U9" s="185"/>
      <c r="V9" s="209">
        <f ca="1">IF(C9="",NA(),IF(OR(C9="Smelter not listed",C9="Smelter not yet identified"),MATCH($B9&amp;$D9,'Smelter Look-up'!$J:$J,0),MATCH($B9&amp;$C9,'Smelter Look-up'!$J:$J,0)))</f>
        <v>121</v>
      </c>
      <c r="X9" s="210">
        <f t="shared" ca="1" si="3"/>
        <v>0</v>
      </c>
      <c r="AB9" s="211" t="str">
        <f t="shared" ca="1" si="4"/>
        <v>GoldHeraeus Germany GmbH Co. KG</v>
      </c>
    </row>
    <row r="10" spans="1:34" s="210" customFormat="1" ht="20.100000000000001" customHeight="1">
      <c r="A10" s="245" t="s">
        <v>679</v>
      </c>
      <c r="B10" s="166" t="str">
        <f ca="1">IF(LEN(A10)=0,"",INDEX('Smelter Look-up'!$A:$A,MATCH($A10,'Smelter Look-up'!$E:$E,0)))</f>
        <v>Gold</v>
      </c>
      <c r="C10" s="170" t="str">
        <f ca="1">IF(LEN(A10)=0,"",INDEX('Smelter Look-up'!$C:$C,MATCH($A10,'Smelter Look-up'!$E:$E,0)))</f>
        <v>Metalor Technologies S.A.</v>
      </c>
      <c r="D10" s="213"/>
      <c r="E10" s="166" t="str">
        <f ca="1">IF(ISERROR($V10),"",OFFSET('Smelter Look-up'!$D$4,$V10-4,0)&amp;"")</f>
        <v>SWITZERLAND</v>
      </c>
      <c r="F10" s="166" t="str">
        <f ca="1">IF(ISERROR($V10),"",OFFSET('Smelter Look-up'!$E$4,$V10-4,0))</f>
        <v>CID001153</v>
      </c>
      <c r="G10" s="166" t="str">
        <f ca="1">IF(C10=$X$4,IF(ISERROR($V10),"Enter smelter details","RMI"),IF(ISERROR($V10),"",OFFSET('Smelter Look-up'!$F$4,$V10-4,0)))</f>
        <v>RMI</v>
      </c>
      <c r="H10" s="167">
        <f ca="1">IF(ISERROR($V10),"",OFFSET('Smelter Look-up'!$G$4,$V10-4,0))</f>
        <v>0</v>
      </c>
      <c r="I10" s="168" t="str">
        <f ca="1">IF(ISERROR($V10),"",OFFSET('Smelter Look-up'!$H$4,$V10-4,0))</f>
        <v>Marin</v>
      </c>
      <c r="J10" s="168" t="str">
        <f ca="1">IF(ISERROR($V10),"",OFFSET('Smelter Look-up'!$I$4,$V10-4,0))</f>
        <v>Neuchâtel</v>
      </c>
      <c r="K10" s="207"/>
      <c r="L10" s="207"/>
      <c r="M10" s="207"/>
      <c r="N10" s="207"/>
      <c r="O10" s="207"/>
      <c r="P10" s="169"/>
      <c r="Q10" s="208"/>
      <c r="R10" s="166" t="str">
        <f ca="1">IF(ISERROR($V10),"",OFFSET('Smelter Look-up'!$C$4,$V10-4,0)&amp;"")</f>
        <v>Metalor Technologies S.A.</v>
      </c>
      <c r="S10" s="165" t="str">
        <f t="shared" ca="1" si="2"/>
        <v>CH</v>
      </c>
      <c r="T10" s="165" t="str">
        <f ca="1">IF(B10="","",IF(ISERROR(MATCH($J10,SorP!$B$1:$B$6261,0)),"",INDIRECT("'SorP'!$A$"&amp;MATCH($S10&amp;$J10,SorP!C:C,0))))</f>
        <v>CH-NE</v>
      </c>
      <c r="U10" s="185"/>
      <c r="V10" s="209">
        <f ca="1">IF(C10="",NA(),IF(OR(C10="Smelter not listed",C10="Smelter not yet identified"),MATCH($B10&amp;$D10,'Smelter Look-up'!$J:$J,0),MATCH($B10&amp;$C10,'Smelter Look-up'!$J:$J,0)))</f>
        <v>196</v>
      </c>
      <c r="X10" s="210">
        <f t="shared" ca="1" si="3"/>
        <v>0</v>
      </c>
      <c r="AB10" s="211" t="str">
        <f t="shared" ca="1" si="4"/>
        <v>GoldMetalor Technologies S.A.</v>
      </c>
    </row>
    <row r="11" spans="1:34" s="210" customFormat="1" ht="20.100000000000001" customHeight="1">
      <c r="A11" s="245" t="s">
        <v>634</v>
      </c>
      <c r="B11" s="166" t="str">
        <f ca="1">IF(LEN(A11)=0,"",INDEX('Smelter Look-up'!$A:$A,MATCH($A11,'Smelter Look-up'!$E:$E,0)))</f>
        <v>Gold</v>
      </c>
      <c r="C11" s="170" t="str">
        <f ca="1">IF(LEN(A11)=0,"",INDEX('Smelter Look-up'!$C:$C,MATCH($A11,'Smelter Look-up'!$E:$E,0)))</f>
        <v>Argor-Heraeus S.A.</v>
      </c>
      <c r="D11" s="213"/>
      <c r="E11" s="166" t="str">
        <f ca="1">IF(ISERROR($V11),"",OFFSET('Smelter Look-up'!$D$4,$V11-4,0)&amp;"")</f>
        <v>SWITZERLAND</v>
      </c>
      <c r="F11" s="166" t="str">
        <f ca="1">IF(ISERROR($V11),"",OFFSET('Smelter Look-up'!$E$4,$V11-4,0))</f>
        <v>CID000077</v>
      </c>
      <c r="G11" s="166" t="str">
        <f ca="1">IF(C11=$X$4,IF(ISERROR($V11),"Enter smelter details","RMI"),IF(ISERROR($V11),"",OFFSET('Smelter Look-up'!$F$4,$V11-4,0)))</f>
        <v>RMI</v>
      </c>
      <c r="H11" s="167">
        <f ca="1">IF(ISERROR($V11),"",OFFSET('Smelter Look-up'!$G$4,$V11-4,0))</f>
        <v>0</v>
      </c>
      <c r="I11" s="168" t="str">
        <f ca="1">IF(ISERROR($V11),"",OFFSET('Smelter Look-up'!$H$4,$V11-4,0))</f>
        <v>Mendrisio</v>
      </c>
      <c r="J11" s="168" t="str">
        <f ca="1">IF(ISERROR($V11),"",OFFSET('Smelter Look-up'!$I$4,$V11-4,0))</f>
        <v>Ticino</v>
      </c>
      <c r="K11" s="207"/>
      <c r="L11" s="207"/>
      <c r="M11" s="207"/>
      <c r="N11" s="207"/>
      <c r="O11" s="207"/>
      <c r="P11" s="169"/>
      <c r="Q11" s="208"/>
      <c r="R11" s="166" t="str">
        <f ca="1">IF(ISERROR($V11),"",OFFSET('Smelter Look-up'!$C$4,$V11-4,0)&amp;"")</f>
        <v>Argor-Heraeus S.A.</v>
      </c>
      <c r="S11" s="165" t="str">
        <f t="shared" ca="1" si="2"/>
        <v>CH</v>
      </c>
      <c r="T11" s="165" t="str">
        <f ca="1">IF(B11="","",IF(ISERROR(MATCH($J11,SorP!$B$1:$B$6261,0)),"",INDIRECT("'SorP'!$A$"&amp;MATCH($S11&amp;$J11,SorP!C:C,0))))</f>
        <v>CH-TI</v>
      </c>
      <c r="U11" s="185"/>
      <c r="V11" s="209">
        <f ca="1">IF(C11="",NA(),IF(OR(C11="Smelter not listed",C11="Smelter not yet identified"),MATCH($B11&amp;$D11,'Smelter Look-up'!$J:$J,0),MATCH($B11&amp;$C11,'Smelter Look-up'!$J:$J,0)))</f>
        <v>31</v>
      </c>
      <c r="X11" s="210">
        <f t="shared" ca="1" si="3"/>
        <v>0</v>
      </c>
      <c r="AB11" s="211" t="str">
        <f t="shared" ca="1" si="4"/>
        <v>GoldArgor-Heraeus S.A.</v>
      </c>
    </row>
    <row r="12" spans="1:34" s="210" customFormat="1" ht="20.100000000000001" customHeight="1">
      <c r="A12" s="245" t="s">
        <v>637</v>
      </c>
      <c r="B12" s="166" t="str">
        <f ca="1">IF(LEN(A12)=0,"",INDEX('Smelter Look-up'!$A:$A,MATCH($A12,'Smelter Look-up'!$E:$E,0)))</f>
        <v>Gold</v>
      </c>
      <c r="C12" s="170" t="str">
        <f ca="1">IF(LEN(A12)=0,"",INDEX('Smelter Look-up'!$C:$C,MATCH($A12,'Smelter Look-up'!$E:$E,0)))</f>
        <v>Aurubis AG, Hamburg</v>
      </c>
      <c r="D12" s="213"/>
      <c r="E12" s="166" t="str">
        <f ca="1">IF(ISERROR($V12),"",OFFSET('Smelter Look-up'!$D$4,$V12-4,0)&amp;"")</f>
        <v>GERMANY</v>
      </c>
      <c r="F12" s="166" t="str">
        <f ca="1">IF(ISERROR($V12),"",OFFSET('Smelter Look-up'!$E$4,$V12-4,0))</f>
        <v>CID000113</v>
      </c>
      <c r="G12" s="166" t="str">
        <f ca="1">IF(C12=$X$4,IF(ISERROR($V12),"Enter smelter details","RMI"),IF(ISERROR($V12),"",OFFSET('Smelter Look-up'!$F$4,$V12-4,0)))</f>
        <v>RMI</v>
      </c>
      <c r="H12" s="167">
        <f ca="1">IF(ISERROR($V12),"",OFFSET('Smelter Look-up'!$G$4,$V12-4,0))</f>
        <v>0</v>
      </c>
      <c r="I12" s="168" t="str">
        <f ca="1">IF(ISERROR($V12),"",OFFSET('Smelter Look-up'!$H$4,$V12-4,0))</f>
        <v>Hamburg</v>
      </c>
      <c r="J12" s="168" t="str">
        <f ca="1">IF(ISERROR($V12),"",OFFSET('Smelter Look-up'!$I$4,$V12-4,0))</f>
        <v>Hamburg</v>
      </c>
      <c r="K12" s="207"/>
      <c r="L12" s="207"/>
      <c r="M12" s="207"/>
      <c r="N12" s="207"/>
      <c r="O12" s="207"/>
      <c r="P12" s="169"/>
      <c r="Q12" s="208"/>
      <c r="R12" s="166" t="str">
        <f ca="1">IF(ISERROR($V12),"",OFFSET('Smelter Look-up'!$C$4,$V12-4,0)&amp;"")</f>
        <v>Aurubis AG, Hamburg</v>
      </c>
      <c r="S12" s="165" t="str">
        <f t="shared" ca="1" si="2"/>
        <v>DE</v>
      </c>
      <c r="T12" s="165" t="str">
        <f ca="1">IF(B12="","",IF(ISERROR(MATCH($J12,SorP!$B$1:$B$6261,0)),"",INDIRECT("'SorP'!$A$"&amp;MATCH($S12&amp;$J12,SorP!C:C,0))))</f>
        <v>DE-HH</v>
      </c>
      <c r="U12" s="185"/>
      <c r="V12" s="209">
        <f ca="1">IF(C12="",NA(),IF(OR(C12="Smelter not listed",C12="Smelter not yet identified"),MATCH($B12&amp;$D12,'Smelter Look-up'!$J:$J,0),MATCH($B12&amp;$C12,'Smelter Look-up'!$J:$J,0)))</f>
        <v>44</v>
      </c>
      <c r="X12" s="210">
        <f t="shared" ca="1" si="3"/>
        <v>0</v>
      </c>
      <c r="AB12" s="211" t="str">
        <f t="shared" ca="1" si="4"/>
        <v>GoldAurubis AG, Hamburg</v>
      </c>
    </row>
    <row r="13" spans="1:34" s="210" customFormat="1" ht="20.100000000000001" customHeight="1">
      <c r="A13" s="245" t="s">
        <v>641</v>
      </c>
      <c r="B13" s="166" t="str">
        <f ca="1">IF(LEN(A13)=0,"",INDEX('Smelter Look-up'!$A:$A,MATCH($A13,'Smelter Look-up'!$E:$E,0)))</f>
        <v>Gold</v>
      </c>
      <c r="C13" s="170" t="str">
        <f ca="1">IF(LEN(A13)=0,"",INDEX('Smelter Look-up'!$C:$C,MATCH($A13,'Smelter Look-up'!$E:$E,0)))</f>
        <v>C. Hafner GmbH + Co. KG</v>
      </c>
      <c r="D13" s="213"/>
      <c r="E13" s="166" t="str">
        <f ca="1">IF(ISERROR($V13),"",OFFSET('Smelter Look-up'!$D$4,$V13-4,0)&amp;"")</f>
        <v>GERMANY</v>
      </c>
      <c r="F13" s="166" t="str">
        <f ca="1">IF(ISERROR($V13),"",OFFSET('Smelter Look-up'!$E$4,$V13-4,0))</f>
        <v>CID000176</v>
      </c>
      <c r="G13" s="166" t="str">
        <f ca="1">IF(C13=$X$4,IF(ISERROR($V13),"Enter smelter details","RMI"),IF(ISERROR($V13),"",OFFSET('Smelter Look-up'!$F$4,$V13-4,0)))</f>
        <v>RMI</v>
      </c>
      <c r="H13" s="167">
        <f ca="1">IF(ISERROR($V13),"",OFFSET('Smelter Look-up'!$G$4,$V13-4,0))</f>
        <v>0</v>
      </c>
      <c r="I13" s="168" t="str">
        <f ca="1">IF(ISERROR($V13),"",OFFSET('Smelter Look-up'!$H$4,$V13-4,0))</f>
        <v>Wimsheim</v>
      </c>
      <c r="J13" s="168" t="str">
        <f ca="1">IF(ISERROR($V13),"",OFFSET('Smelter Look-up'!$I$4,$V13-4,0))</f>
        <v>Baden-Württemberg</v>
      </c>
      <c r="K13" s="207"/>
      <c r="L13" s="207"/>
      <c r="M13" s="207"/>
      <c r="N13" s="207"/>
      <c r="O13" s="207"/>
      <c r="P13" s="169"/>
      <c r="Q13" s="208"/>
      <c r="R13" s="166" t="str">
        <f ca="1">IF(ISERROR($V13),"",OFFSET('Smelter Look-up'!$C$4,$V13-4,0)&amp;"")</f>
        <v>C. Hafner GmbH + Co. KG</v>
      </c>
      <c r="S13" s="165" t="str">
        <f t="shared" ca="1" si="2"/>
        <v>DE</v>
      </c>
      <c r="T13" s="165" t="str">
        <f ca="1">IF(B13="","",IF(ISERROR(MATCH($J13,SorP!$B$1:$B$6261,0)),"",INDIRECT("'SorP'!$A$"&amp;MATCH($S13&amp;$J13,SorP!C:C,0))))</f>
        <v>DE-BW</v>
      </c>
      <c r="U13" s="185"/>
      <c r="V13" s="209">
        <f ca="1">IF(C13="",NA(),IF(OR(C13="Smelter not listed",C13="Smelter not yet identified"),MATCH($B13&amp;$D13,'Smelter Look-up'!$J:$J,0),MATCH($B13&amp;$C13,'Smelter Look-up'!$J:$J,0)))</f>
        <v>54</v>
      </c>
      <c r="X13" s="210">
        <f t="shared" ca="1" si="3"/>
        <v>0</v>
      </c>
      <c r="AB13" s="211" t="str">
        <f t="shared" ca="1" si="4"/>
        <v>GoldC. Hafner GmbH + Co. KG</v>
      </c>
    </row>
    <row r="14" spans="1:34" s="210" customFormat="1" ht="20.100000000000001" customHeight="1">
      <c r="A14" s="245" t="s">
        <v>2110</v>
      </c>
      <c r="B14" s="166" t="str">
        <f ca="1">IF(LEN(A14)=0,"",INDEX('Smelter Look-up'!$A:$A,MATCH($A14,'Smelter Look-up'!$E:$E,0)))</f>
        <v>Gold</v>
      </c>
      <c r="C14" s="170" t="str">
        <f ca="1">IF(LEN(A14)=0,"",INDEX('Smelter Look-up'!$C:$C,MATCH($A14,'Smelter Look-up'!$E:$E,0)))</f>
        <v>WIELAND Edelmetalle GmbH</v>
      </c>
      <c r="D14" s="213"/>
      <c r="E14" s="166" t="str">
        <f ca="1">IF(ISERROR($V14),"",OFFSET('Smelter Look-up'!$D$4,$V14-4,0)&amp;"")</f>
        <v>GERMANY</v>
      </c>
      <c r="F14" s="166" t="str">
        <f ca="1">IF(ISERROR($V14),"",OFFSET('Smelter Look-up'!$E$4,$V14-4,0))</f>
        <v>CID002778</v>
      </c>
      <c r="G14" s="166" t="str">
        <f ca="1">IF(C14=$X$4,IF(ISERROR($V14),"Enter smelter details","RMI"),IF(ISERROR($V14),"",OFFSET('Smelter Look-up'!$F$4,$V14-4,0)))</f>
        <v>RMI</v>
      </c>
      <c r="H14" s="167">
        <f ca="1">IF(ISERROR($V14),"",OFFSET('Smelter Look-up'!$G$4,$V14-4,0))</f>
        <v>0</v>
      </c>
      <c r="I14" s="168" t="str">
        <f ca="1">IF(ISERROR($V14),"",OFFSET('Smelter Look-up'!$H$4,$V14-4,0))</f>
        <v>Pforzheim</v>
      </c>
      <c r="J14" s="168" t="str">
        <f ca="1">IF(ISERROR($V14),"",OFFSET('Smelter Look-up'!$I$4,$V14-4,0))</f>
        <v>Baden-Württemberg</v>
      </c>
      <c r="K14" s="207"/>
      <c r="L14" s="207"/>
      <c r="M14" s="207"/>
      <c r="N14" s="207"/>
      <c r="O14" s="207"/>
      <c r="P14" s="169"/>
      <c r="Q14" s="208"/>
      <c r="R14" s="166" t="str">
        <f ca="1">IF(ISERROR($V14),"",OFFSET('Smelter Look-up'!$C$4,$V14-4,0)&amp;"")</f>
        <v>WIELAND Edelmetalle GmbH</v>
      </c>
      <c r="S14" s="165" t="str">
        <f t="shared" ca="1" si="2"/>
        <v>DE</v>
      </c>
      <c r="T14" s="165" t="str">
        <f ca="1">IF(B14="","",IF(ISERROR(MATCH($J14,SorP!$B$1:$B$6261,0)),"",INDIRECT("'SorP'!$A$"&amp;MATCH($S14&amp;$J14,SorP!C:C,0))))</f>
        <v>DE-BW</v>
      </c>
      <c r="U14" s="185"/>
      <c r="V14" s="209">
        <f ca="1">IF(C14="",NA(),IF(OR(C14="Smelter not listed",C14="Smelter not yet identified"),MATCH($B14&amp;$D14,'Smelter Look-up'!$J:$J,0),MATCH($B14&amp;$C14,'Smelter Look-up'!$J:$J,0)))</f>
        <v>325</v>
      </c>
      <c r="X14" s="210">
        <f t="shared" ca="1" si="3"/>
        <v>0</v>
      </c>
      <c r="AB14" s="211" t="str">
        <f t="shared" ca="1" si="4"/>
        <v>GoldWIELAND Edelmetalle GmbH</v>
      </c>
    </row>
    <row r="15" spans="1:34" s="210" customFormat="1" ht="20.100000000000001" customHeight="1">
      <c r="A15" s="245" t="s">
        <v>750</v>
      </c>
      <c r="B15" s="166" t="str">
        <f ca="1">IF(LEN(A15)=0,"",INDEX('Smelter Look-up'!$A:$A,MATCH($A15,'Smelter Look-up'!$E:$E,0)))</f>
        <v>Tin</v>
      </c>
      <c r="C15" s="170" t="str">
        <f ca="1">IF(LEN(A15)=0,"",INDEX('Smelter Look-up'!$C:$C,MATCH($A15,'Smelter Look-up'!$E:$E,0)))</f>
        <v>PT Timah Tbk Mentok</v>
      </c>
      <c r="D15" s="213"/>
      <c r="E15" s="166" t="str">
        <f ca="1">IF(ISERROR($V15),"",OFFSET('Smelter Look-up'!$D$4,$V15-4,0)&amp;"")</f>
        <v>INDONESIA</v>
      </c>
      <c r="F15" s="166" t="str">
        <f ca="1">IF(ISERROR($V15),"",OFFSET('Smelter Look-up'!$E$4,$V15-4,0))</f>
        <v>CID001482</v>
      </c>
      <c r="G15" s="166" t="str">
        <f ca="1">IF(C15=$X$4,IF(ISERROR($V15),"Enter smelter details","RMI"),IF(ISERROR($V15),"",OFFSET('Smelter Look-up'!$F$4,$V15-4,0)))</f>
        <v>RMI</v>
      </c>
      <c r="H15" s="167">
        <f ca="1">IF(ISERROR($V15),"",OFFSET('Smelter Look-up'!$G$4,$V15-4,0))</f>
        <v>0</v>
      </c>
      <c r="I15" s="168" t="str">
        <f ca="1">IF(ISERROR($V15),"",OFFSET('Smelter Look-up'!$H$4,$V15-4,0))</f>
        <v>Mentok</v>
      </c>
      <c r="J15" s="168" t="str">
        <f ca="1">IF(ISERROR($V15),"",OFFSET('Smelter Look-up'!$I$4,$V15-4,0))</f>
        <v>Kepulauan Bangka Belitung</v>
      </c>
      <c r="K15" s="207"/>
      <c r="L15" s="207"/>
      <c r="M15" s="207"/>
      <c r="N15" s="207"/>
      <c r="O15" s="207"/>
      <c r="P15" s="169"/>
      <c r="Q15" s="208"/>
      <c r="R15" s="166" t="str">
        <f ca="1">IF(ISERROR($V15),"",OFFSET('Smelter Look-up'!$C$4,$V15-4,0)&amp;"")</f>
        <v>PT Timah Tbk Mentok</v>
      </c>
      <c r="S15" s="165" t="str">
        <f t="shared" ca="1" si="2"/>
        <v>ID</v>
      </c>
      <c r="T15" s="165" t="str">
        <f ca="1">IF(B15="","",IF(ISERROR(MATCH($J15,SorP!$B$1:$B$6261,0)),"",INDIRECT("'SorP'!$A$"&amp;MATCH($S15&amp;$J15,SorP!C:C,0))))</f>
        <v>ID-BB</v>
      </c>
      <c r="U15" s="185"/>
      <c r="V15" s="209">
        <f ca="1">IF(C15="",NA(),IF(OR(C15="Smelter not listed",C15="Smelter not yet identified"),MATCH($B15&amp;$D15,'Smelter Look-up'!$J:$J,0),MATCH($B15&amp;$C15,'Smelter Look-up'!$J:$J,0)))</f>
        <v>532</v>
      </c>
      <c r="X15" s="210">
        <f t="shared" ca="1" si="3"/>
        <v>0</v>
      </c>
      <c r="AB15" s="211" t="str">
        <f t="shared" ca="1" si="4"/>
        <v>TinPT Timah Tbk Mentok</v>
      </c>
    </row>
    <row r="16" spans="1:34" s="210" customFormat="1" ht="20.100000000000001" customHeight="1">
      <c r="A16" s="245" t="s">
        <v>767</v>
      </c>
      <c r="B16" s="166" t="str">
        <f ca="1">IF(LEN(A16)=0,"",INDEX('Smelter Look-up'!$A:$A,MATCH($A16,'Smelter Look-up'!$E:$E,0)))</f>
        <v>Tin</v>
      </c>
      <c r="C16" s="170" t="str">
        <f ca="1">IF(LEN(A16)=0,"",INDEX('Smelter Look-up'!$C:$C,MATCH($A16,'Smelter Look-up'!$E:$E,0)))</f>
        <v>PT Timah Tbk Kundur</v>
      </c>
      <c r="D16" s="213"/>
      <c r="E16" s="166" t="str">
        <f ca="1">IF(ISERROR($V16),"",OFFSET('Smelter Look-up'!$D$4,$V16-4,0)&amp;"")</f>
        <v>INDONESIA</v>
      </c>
      <c r="F16" s="166" t="str">
        <f ca="1">IF(ISERROR($V16),"",OFFSET('Smelter Look-up'!$E$4,$V16-4,0))</f>
        <v>CID001477</v>
      </c>
      <c r="G16" s="166" t="str">
        <f ca="1">IF(C16=$X$4,IF(ISERROR($V16),"Enter smelter details","RMI"),IF(ISERROR($V16),"",OFFSET('Smelter Look-up'!$F$4,$V16-4,0)))</f>
        <v>RMI</v>
      </c>
      <c r="H16" s="167">
        <f ca="1">IF(ISERROR($V16),"",OFFSET('Smelter Look-up'!$G$4,$V16-4,0))</f>
        <v>0</v>
      </c>
      <c r="I16" s="168" t="str">
        <f ca="1">IF(ISERROR($V16),"",OFFSET('Smelter Look-up'!$H$4,$V16-4,0))</f>
        <v>Kundur</v>
      </c>
      <c r="J16" s="168" t="str">
        <f ca="1">IF(ISERROR($V16),"",OFFSET('Smelter Look-up'!$I$4,$V16-4,0))</f>
        <v>Riau</v>
      </c>
      <c r="K16" s="207"/>
      <c r="L16" s="207"/>
      <c r="M16" s="207"/>
      <c r="N16" s="207"/>
      <c r="O16" s="207"/>
      <c r="P16" s="169"/>
      <c r="Q16" s="208"/>
      <c r="R16" s="166" t="str">
        <f ca="1">IF(ISERROR($V16),"",OFFSET('Smelter Look-up'!$C$4,$V16-4,0)&amp;"")</f>
        <v>PT Timah Tbk Kundur</v>
      </c>
      <c r="S16" s="165" t="str">
        <f t="shared" ca="1" si="2"/>
        <v>ID</v>
      </c>
      <c r="T16" s="165" t="str">
        <f ca="1">IF(B16="","",IF(ISERROR(MATCH($J16,SorP!$B$1:$B$6261,0)),"",INDIRECT("'SorP'!$A$"&amp;MATCH($S16&amp;$J16,SorP!C:C,0))))</f>
        <v>ID-RI</v>
      </c>
      <c r="U16" s="185"/>
      <c r="V16" s="209">
        <f ca="1">IF(C16="",NA(),IF(OR(C16="Smelter not listed",C16="Smelter not yet identified"),MATCH($B16&amp;$D16,'Smelter Look-up'!$J:$J,0),MATCH($B16&amp;$C16,'Smelter Look-up'!$J:$J,0)))</f>
        <v>531</v>
      </c>
      <c r="X16" s="210">
        <f t="shared" ca="1" si="3"/>
        <v>0</v>
      </c>
      <c r="AB16" s="211" t="str">
        <f t="shared" ca="1" si="4"/>
        <v>TinPT Timah Tbk Kundur</v>
      </c>
    </row>
    <row r="17" spans="1:28" s="210" customFormat="1" ht="20.100000000000001" customHeight="1">
      <c r="A17" s="245" t="s">
        <v>738</v>
      </c>
      <c r="B17" s="166" t="str">
        <f ca="1">IF(LEN(A17)=0,"",INDEX('Smelter Look-up'!$A:$A,MATCH($A17,'Smelter Look-up'!$E:$E,0)))</f>
        <v>Tin</v>
      </c>
      <c r="C17" s="170" t="str">
        <f ca="1">IF(LEN(A17)=0,"",INDEX('Smelter Look-up'!$C:$C,MATCH($A17,'Smelter Look-up'!$E:$E,0)))</f>
        <v>Fenix Metals</v>
      </c>
      <c r="D17" s="213"/>
      <c r="E17" s="166" t="str">
        <f ca="1">IF(ISERROR($V17),"",OFFSET('Smelter Look-up'!$D$4,$V17-4,0)&amp;"")</f>
        <v>POLAND</v>
      </c>
      <c r="F17" s="166" t="str">
        <f ca="1">IF(ISERROR($V17),"",OFFSET('Smelter Look-up'!$E$4,$V17-4,0))</f>
        <v>CID000468</v>
      </c>
      <c r="G17" s="166" t="str">
        <f ca="1">IF(C17=$X$4,IF(ISERROR($V17),"Enter smelter details","RMI"),IF(ISERROR($V17),"",OFFSET('Smelter Look-up'!$F$4,$V17-4,0)))</f>
        <v>RMI</v>
      </c>
      <c r="H17" s="167">
        <f ca="1">IF(ISERROR($V17),"",OFFSET('Smelter Look-up'!$G$4,$V17-4,0))</f>
        <v>0</v>
      </c>
      <c r="I17" s="168" t="str">
        <f ca="1">IF(ISERROR($V17),"",OFFSET('Smelter Look-up'!$H$4,$V17-4,0))</f>
        <v>Chmielów</v>
      </c>
      <c r="J17" s="168" t="str">
        <f ca="1">IF(ISERROR($V17),"",OFFSET('Smelter Look-up'!$I$4,$V17-4,0))</f>
        <v>Podkarpackie</v>
      </c>
      <c r="K17" s="207"/>
      <c r="L17" s="207"/>
      <c r="M17" s="207"/>
      <c r="N17" s="207"/>
      <c r="O17" s="207"/>
      <c r="P17" s="169"/>
      <c r="Q17" s="208"/>
      <c r="R17" s="166" t="str">
        <f ca="1">IF(ISERROR($V17),"",OFFSET('Smelter Look-up'!$C$4,$V17-4,0)&amp;"")</f>
        <v>Fenix Metals</v>
      </c>
      <c r="S17" s="165" t="str">
        <f t="shared" ca="1" si="2"/>
        <v>PL</v>
      </c>
      <c r="T17" s="165" t="str">
        <f ca="1">IF(B17="","",IF(ISERROR(MATCH($J17,SorP!$B$1:$B$6261,0)),"",INDIRECT("'SorP'!$A$"&amp;MATCH($S17&amp;$J17,SorP!C:C,0))))</f>
        <v>PL-18</v>
      </c>
      <c r="U17" s="185"/>
      <c r="V17" s="209">
        <f ca="1">IF(C17="",NA(),IF(OR(C17="Smelter not listed",C17="Smelter not yet identified"),MATCH($B17&amp;$D17,'Smelter Look-up'!$J:$J,0),MATCH($B17&amp;$C17,'Smelter Look-up'!$J:$J,0)))</f>
        <v>462</v>
      </c>
      <c r="X17" s="210">
        <f t="shared" ca="1" si="3"/>
        <v>0</v>
      </c>
      <c r="AB17" s="211" t="str">
        <f t="shared" ca="1" si="4"/>
        <v>TinFenix Metals</v>
      </c>
    </row>
    <row r="18" spans="1:28" s="210" customFormat="1" ht="20.100000000000001" customHeight="1">
      <c r="A18" s="165" t="s">
        <v>743</v>
      </c>
      <c r="B18" s="166" t="str">
        <f ca="1">IF(LEN(A18)=0,"",INDEX('Smelter Look-up'!$A:$A,MATCH($A18,'Smelter Look-up'!$E:$E,0)))</f>
        <v>Tin</v>
      </c>
      <c r="C18" s="170" t="str">
        <f ca="1">IF(LEN(A18)=0,"",INDEX('Smelter Look-up'!$C:$C,MATCH($A18,'Smelter Look-up'!$E:$E,0)))</f>
        <v>Mineracao Taboca S.A.</v>
      </c>
      <c r="D18" s="213"/>
      <c r="E18" s="166" t="str">
        <f ca="1">IF(ISERROR($V18),"",OFFSET('Smelter Look-up'!$D$4,$V18-4,0)&amp;"")</f>
        <v>BRAZIL</v>
      </c>
      <c r="F18" s="166" t="str">
        <f ca="1">IF(ISERROR($V18),"",OFFSET('Smelter Look-up'!$E$4,$V18-4,0))</f>
        <v>CID001173</v>
      </c>
      <c r="G18" s="166" t="str">
        <f ca="1">IF(C18=$X$4,IF(ISERROR($V18),"Enter smelter details","RMI"),IF(ISERROR($V18),"",OFFSET('Smelter Look-up'!$F$4,$V18-4,0)))</f>
        <v>RMI</v>
      </c>
      <c r="H18" s="167">
        <f ca="1">IF(ISERROR($V18),"",OFFSET('Smelter Look-up'!$G$4,$V18-4,0))</f>
        <v>0</v>
      </c>
      <c r="I18" s="168" t="str">
        <f ca="1">IF(ISERROR($V18),"",OFFSET('Smelter Look-up'!$H$4,$V18-4,0))</f>
        <v>Pirapora de Bom Jesus</v>
      </c>
      <c r="J18" s="168" t="str">
        <f ca="1">IF(ISERROR($V18),"",OFFSET('Smelter Look-up'!$I$4,$V18-4,0))</f>
        <v>São Paulo</v>
      </c>
      <c r="K18" s="207"/>
      <c r="L18" s="207"/>
      <c r="M18" s="207"/>
      <c r="N18" s="207"/>
      <c r="O18" s="207"/>
      <c r="P18" s="169"/>
      <c r="Q18" s="208"/>
      <c r="R18" s="166" t="str">
        <f ca="1">IF(ISERROR($V18),"",OFFSET('Smelter Look-up'!$C$4,$V18-4,0)&amp;"")</f>
        <v>Mineracao Taboca S.A.</v>
      </c>
      <c r="S18" s="165" t="str">
        <f t="shared" ca="1" si="2"/>
        <v>BR</v>
      </c>
      <c r="T18" s="165" t="str">
        <f ca="1">IF(B18="","",IF(ISERROR(MATCH($J18,SorP!$B$1:$B$6261,0)),"",INDIRECT("'SorP'!$A$"&amp;MATCH($S18&amp;$J18,SorP!C:C,0))))</f>
        <v>BR-SP</v>
      </c>
      <c r="U18" s="185"/>
      <c r="V18" s="209">
        <f ca="1">IF(C18="",NA(),IF(OR(C18="Smelter not listed",C18="Smelter not yet identified"),MATCH($B18&amp;$D18,'Smelter Look-up'!$J:$J,0),MATCH($B18&amp;$C18,'Smelter Look-up'!$J:$J,0)))</f>
        <v>498</v>
      </c>
      <c r="X18" s="210">
        <f t="shared" ca="1" si="3"/>
        <v>0</v>
      </c>
      <c r="AB18" s="211" t="str">
        <f t="shared" ca="1" si="4"/>
        <v>TinMineracao Taboca S.A.</v>
      </c>
    </row>
    <row r="19" spans="1:28" s="210" customFormat="1" ht="24.75" customHeight="1">
      <c r="A19" s="165" t="s">
        <v>748</v>
      </c>
      <c r="B19" s="166" t="str">
        <f ca="1">IF(LEN(A19)=0,"",INDEX('Smelter Look-up'!$A:$A,MATCH($A19,'Smelter Look-up'!$E:$E,0)))</f>
        <v>Tin</v>
      </c>
      <c r="C19" s="170" t="str">
        <f ca="1">IF(LEN(A19)=0,"",INDEX('Smelter Look-up'!$C:$C,MATCH($A19,'Smelter Look-up'!$E:$E,0)))</f>
        <v>Operaciones Metalurgicas S.A.</v>
      </c>
      <c r="D19" s="213"/>
      <c r="E19" s="166" t="str">
        <f ca="1">IF(ISERROR($V19),"",OFFSET('Smelter Look-up'!$D$4,$V19-4,0)&amp;"")</f>
        <v>BOLIVIA (PLURINATIONAL STATE OF)</v>
      </c>
      <c r="F19" s="166" t="str">
        <f ca="1">IF(ISERROR($V19),"",OFFSET('Smelter Look-up'!$E$4,$V19-4,0))</f>
        <v>CID001337</v>
      </c>
      <c r="G19" s="166" t="str">
        <f ca="1">IF(C19=$X$4,IF(ISERROR($V19),"Enter smelter details","RMI"),IF(ISERROR($V19),"",OFFSET('Smelter Look-up'!$F$4,$V19-4,0)))</f>
        <v>RMI</v>
      </c>
      <c r="H19" s="167">
        <f ca="1">IF(ISERROR($V19),"",OFFSET('Smelter Look-up'!$G$4,$V19-4,0))</f>
        <v>0</v>
      </c>
      <c r="I19" s="168" t="str">
        <f ca="1">IF(ISERROR($V19),"",OFFSET('Smelter Look-up'!$H$4,$V19-4,0))</f>
        <v>Oruro</v>
      </c>
      <c r="J19" s="168" t="str">
        <f ca="1">IF(ISERROR($V19),"",OFFSET('Smelter Look-up'!$I$4,$V19-4,0))</f>
        <v>Oruro</v>
      </c>
      <c r="K19" s="207"/>
      <c r="L19" s="207"/>
      <c r="M19" s="207"/>
      <c r="N19" s="207"/>
      <c r="O19" s="207"/>
      <c r="P19" s="169"/>
      <c r="Q19" s="208"/>
      <c r="R19" s="166" t="str">
        <f ca="1">IF(ISERROR($V19),"",OFFSET('Smelter Look-up'!$C$4,$V19-4,0)&amp;"")</f>
        <v>Operaciones Metalurgicas S.A.</v>
      </c>
      <c r="S19" s="165" t="str">
        <f t="shared" ca="1" si="2"/>
        <v>Unknown</v>
      </c>
      <c r="T19" s="165" t="e">
        <f ca="1">IF(B19="","",IF(ISERROR(MATCH($J19,SorP!$B$1:$B$6261,0)),"",INDIRECT("'SorP'!$A$"&amp;MATCH($S19&amp;$J19,SorP!C:C,0))))</f>
        <v>#N/A</v>
      </c>
      <c r="U19" s="185"/>
      <c r="V19" s="209">
        <f ca="1">IF(C19="",NA(),IF(OR(C19="Smelter not listed",C19="Smelter not yet identified"),MATCH($B19&amp;$D19,'Smelter Look-up'!$J:$J,0),MATCH($B19&amp;$C19,'Smelter Look-up'!$J:$J,0)))</f>
        <v>514</v>
      </c>
      <c r="X19" s="210">
        <f t="shared" ca="1" si="3"/>
        <v>0</v>
      </c>
      <c r="AB19" s="211" t="str">
        <f t="shared" ca="1" si="4"/>
        <v>TinOperaciones Metalurgicas S.A.</v>
      </c>
    </row>
    <row r="20" spans="1:28" s="210" customFormat="1" ht="23.25" customHeight="1">
      <c r="A20" s="165" t="s">
        <v>749</v>
      </c>
      <c r="B20" s="166" t="str">
        <f ca="1">IF(LEN(A20)=0,"",INDEX('Smelter Look-up'!$A:$A,MATCH($A20,'Smelter Look-up'!$E:$E,0)))</f>
        <v>Tin</v>
      </c>
      <c r="C20" s="170" t="str">
        <f ca="1">IF(LEN(A20)=0,"",INDEX('Smelter Look-up'!$C:$C,MATCH($A20,'Smelter Look-up'!$E:$E,0)))</f>
        <v>PT Mitra Stania Prima</v>
      </c>
      <c r="D20" s="213"/>
      <c r="E20" s="166" t="str">
        <f ca="1">IF(ISERROR($V20),"",OFFSET('Smelter Look-up'!$D$4,$V20-4,0)&amp;"")</f>
        <v>INDONESIA</v>
      </c>
      <c r="F20" s="166" t="str">
        <f ca="1">IF(ISERROR($V20),"",OFFSET('Smelter Look-up'!$E$4,$V20-4,0))</f>
        <v>CID001453</v>
      </c>
      <c r="G20" s="166" t="str">
        <f ca="1">IF(C20=$X$4,IF(ISERROR($V20),"Enter smelter details","RMI"),IF(ISERROR($V20),"",OFFSET('Smelter Look-up'!$F$4,$V20-4,0)))</f>
        <v>RMI</v>
      </c>
      <c r="H20" s="167">
        <f ca="1">IF(ISERROR($V20),"",OFFSET('Smelter Look-up'!$G$4,$V20-4,0))</f>
        <v>0</v>
      </c>
      <c r="I20" s="168" t="str">
        <f ca="1">IF(ISERROR($V20),"",OFFSET('Smelter Look-up'!$H$4,$V20-4,0))</f>
        <v>Sungailiat</v>
      </c>
      <c r="J20" s="168" t="str">
        <f ca="1">IF(ISERROR($V20),"",OFFSET('Smelter Look-up'!$I$4,$V20-4,0))</f>
        <v>Kepulauan Bangka Belitung</v>
      </c>
      <c r="K20" s="207"/>
      <c r="L20" s="207"/>
      <c r="M20" s="207"/>
      <c r="N20" s="207"/>
      <c r="O20" s="207"/>
      <c r="P20" s="169"/>
      <c r="Q20" s="208"/>
      <c r="R20" s="166" t="str">
        <f ca="1">IF(ISERROR($V20),"",OFFSET('Smelter Look-up'!$C$4,$V20-4,0)&amp;"")</f>
        <v>PT Mitra Stania Prima</v>
      </c>
      <c r="S20" s="165" t="str">
        <f t="shared" ca="1" si="2"/>
        <v>ID</v>
      </c>
      <c r="T20" s="165" t="str">
        <f ca="1">IF(B20="","",IF(ISERROR(MATCH($J20,SorP!$B$1:$B$6261,0)),"",INDIRECT("'SorP'!$A$"&amp;MATCH($S20&amp;$J20,SorP!C:C,0))))</f>
        <v>ID-BB</v>
      </c>
      <c r="U20" s="185"/>
      <c r="V20" s="209">
        <f ca="1">IF(C20="",NA(),IF(OR(C20="Smelter not listed",C20="Smelter not yet identified"),MATCH($B20&amp;$D20,'Smelter Look-up'!$J:$J,0),MATCH($B20&amp;$C20,'Smelter Look-up'!$J:$J,0)))</f>
        <v>524</v>
      </c>
      <c r="X20" s="210">
        <f t="shared" ca="1" si="3"/>
        <v>0</v>
      </c>
      <c r="AB20" s="211" t="str">
        <f t="shared" ca="1" si="4"/>
        <v>TinPT Mitra Stania Prima</v>
      </c>
    </row>
    <row r="21" spans="1:28" s="210" customFormat="1" ht="24" customHeight="1">
      <c r="A21" s="165" t="s">
        <v>1728</v>
      </c>
      <c r="B21" s="166" t="str">
        <f ca="1">IF(LEN(A21)=0,"",INDEX('Smelter Look-up'!$A:$A,MATCH($A21,'Smelter Look-up'!$E:$E,0)))</f>
        <v>Tin</v>
      </c>
      <c r="C21" s="170" t="str">
        <f ca="1">IF(LEN(A21)=0,"",INDEX('Smelter Look-up'!$C:$C,MATCH($A21,'Smelter Look-up'!$E:$E,0)))</f>
        <v>Aurubis Beerse</v>
      </c>
      <c r="D21" s="213"/>
      <c r="E21" s="166" t="str">
        <f ca="1">IF(ISERROR($V21),"",OFFSET('Smelter Look-up'!$D$4,$V21-4,0)&amp;"")</f>
        <v>BELGIUM</v>
      </c>
      <c r="F21" s="166" t="str">
        <f ca="1">IF(ISERROR($V21),"",OFFSET('Smelter Look-up'!$E$4,$V21-4,0))</f>
        <v>CID002773</v>
      </c>
      <c r="G21" s="166" t="str">
        <f ca="1">IF(C21=$X$4,IF(ISERROR($V21),"Enter smelter details","RMI"),IF(ISERROR($V21),"",OFFSET('Smelter Look-up'!$F$4,$V21-4,0)))</f>
        <v>RMI</v>
      </c>
      <c r="H21" s="167">
        <f ca="1">IF(ISERROR($V21),"",OFFSET('Smelter Look-up'!$G$4,$V21-4,0))</f>
        <v>0</v>
      </c>
      <c r="I21" s="168" t="str">
        <f ca="1">IF(ISERROR($V21),"",OFFSET('Smelter Look-up'!$H$4,$V21-4,0))</f>
        <v>Beerse</v>
      </c>
      <c r="J21" s="168" t="str">
        <f ca="1">IF(ISERROR($V21),"",OFFSET('Smelter Look-up'!$I$4,$V21-4,0))</f>
        <v>Antwerpen</v>
      </c>
      <c r="K21" s="207"/>
      <c r="L21" s="207"/>
      <c r="M21" s="207"/>
      <c r="N21" s="207"/>
      <c r="O21" s="207"/>
      <c r="P21" s="169"/>
      <c r="Q21" s="208"/>
      <c r="R21" s="166" t="str">
        <f ca="1">IF(ISERROR($V21),"",OFFSET('Smelter Look-up'!$C$4,$V21-4,0)&amp;"")</f>
        <v>Aurubis Beerse</v>
      </c>
      <c r="S21" s="165" t="str">
        <f t="shared" ca="1" si="2"/>
        <v>BE</v>
      </c>
      <c r="T21" s="165" t="str">
        <f ca="1">IF(B21="","",IF(ISERROR(MATCH($J21,SorP!$B$1:$B$6261,0)),"",INDIRECT("'SorP'!$A$"&amp;MATCH($S21&amp;$J21,SorP!C:C,0))))</f>
        <v>BE-VAN</v>
      </c>
      <c r="U21" s="185"/>
      <c r="V21" s="209">
        <f ca="1">IF(C21="",NA(),IF(OR(C21="Smelter not listed",C21="Smelter not yet identified"),MATCH($B21&amp;$D21,'Smelter Look-up'!$J:$J,0),MATCH($B21&amp;$C21,'Smelter Look-up'!$J:$J,0)))</f>
        <v>423</v>
      </c>
      <c r="X21" s="210">
        <f t="shared" ca="1" si="3"/>
        <v>0</v>
      </c>
      <c r="AB21" s="211" t="str">
        <f t="shared" ca="1" si="4"/>
        <v>TinAurubis Beerse</v>
      </c>
    </row>
    <row r="22" spans="1:28" s="210" customFormat="1" ht="22.5" customHeight="1">
      <c r="A22" s="165" t="s">
        <v>13348</v>
      </c>
      <c r="B22" s="166" t="str">
        <f ca="1">IF(LEN(A22)=0,"",INDEX('Smelter Look-up'!$A:$A,MATCH($A22,'Smelter Look-up'!$E:$E,0)))</f>
        <v>Tin</v>
      </c>
      <c r="C22" s="170" t="str">
        <f ca="1">IF(LEN(A22)=0,"",INDEX('Smelter Look-up'!$C:$C,MATCH($A22,'Smelter Look-up'!$E:$E,0)))</f>
        <v>Luna Smelter, Ltd.</v>
      </c>
      <c r="D22" s="213"/>
      <c r="E22" s="166" t="str">
        <f ca="1">IF(ISERROR($V22),"",OFFSET('Smelter Look-up'!$D$4,$V22-4,0)&amp;"")</f>
        <v>RWANDA</v>
      </c>
      <c r="F22" s="166" t="str">
        <f ca="1">IF(ISERROR($V22),"",OFFSET('Smelter Look-up'!$E$4,$V22-4,0))</f>
        <v>CID003387</v>
      </c>
      <c r="G22" s="166" t="str">
        <f ca="1">IF(C22=$X$4,IF(ISERROR($V22),"Enter smelter details","RMI"),IF(ISERROR($V22),"",OFFSET('Smelter Look-up'!$F$4,$V22-4,0)))</f>
        <v>RMI</v>
      </c>
      <c r="H22" s="167">
        <f ca="1">IF(ISERROR($V22),"",OFFSET('Smelter Look-up'!$G$4,$V22-4,0))</f>
        <v>0</v>
      </c>
      <c r="I22" s="168" t="str">
        <f ca="1">IF(ISERROR($V22),"",OFFSET('Smelter Look-up'!$H$4,$V22-4,0))</f>
        <v>Kigali</v>
      </c>
      <c r="J22" s="168" t="str">
        <f ca="1">IF(ISERROR($V22),"",OFFSET('Smelter Look-up'!$I$4,$V22-4,0))</f>
        <v>City of Kigali</v>
      </c>
      <c r="K22" s="207"/>
      <c r="L22" s="207"/>
      <c r="M22" s="207"/>
      <c r="N22" s="207"/>
      <c r="O22" s="207"/>
      <c r="P22" s="169"/>
      <c r="Q22" s="208"/>
      <c r="R22" s="166" t="str">
        <f ca="1">IF(ISERROR($V22),"",OFFSET('Smelter Look-up'!$C$4,$V22-4,0)&amp;"")</f>
        <v>Luna Smelter, Ltd.</v>
      </c>
      <c r="S22" s="165" t="str">
        <f t="shared" ca="1" si="2"/>
        <v>RW</v>
      </c>
      <c r="T22" s="165" t="str">
        <f ca="1">IF(B22="","",IF(ISERROR(MATCH($J22,SorP!$B$1:$B$6261,0)),"",INDIRECT("'SorP'!$A$"&amp;MATCH($S22&amp;$J22,SorP!C:C,0))))</f>
        <v>RW-01</v>
      </c>
      <c r="U22" s="185"/>
      <c r="V22" s="209">
        <f ca="1">IF(C22="",NA(),IF(OR(C22="Smelter not listed",C22="Smelter not yet identified"),MATCH($B22&amp;$D22,'Smelter Look-up'!$J:$J,0),MATCH($B22&amp;$C22,'Smelter Look-up'!$J:$J,0)))</f>
        <v>488</v>
      </c>
      <c r="X22" s="210">
        <f t="shared" ca="1" si="3"/>
        <v>0</v>
      </c>
      <c r="AB22" s="211" t="str">
        <f t="shared" ca="1" si="4"/>
        <v>TinLuna Smelter, Ltd.</v>
      </c>
    </row>
    <row r="23" spans="1:28" s="210" customFormat="1" ht="25.5" customHeight="1">
      <c r="A23" s="165" t="s">
        <v>13349</v>
      </c>
      <c r="B23" s="166" t="str">
        <f ca="1">IF(LEN(A23)=0,"",INDEX('Smelter Look-up'!$A:$A,MATCH($A23,'Smelter Look-up'!$E:$E,0)))</f>
        <v>Tin</v>
      </c>
      <c r="C23" s="170" t="str">
        <f ca="1">IF(LEN(A23)=0,"",INDEX('Smelter Look-up'!$C:$C,MATCH($A23,'Smelter Look-up'!$E:$E,0)))</f>
        <v>PT Mitra Sukses Globalindo</v>
      </c>
      <c r="D23" s="213"/>
      <c r="E23" s="166" t="str">
        <f ca="1">IF(ISERROR($V23),"",OFFSET('Smelter Look-up'!$D$4,$V23-4,0)&amp;"")</f>
        <v>INDONESIA</v>
      </c>
      <c r="F23" s="166" t="str">
        <f ca="1">IF(ISERROR($V23),"",OFFSET('Smelter Look-up'!$E$4,$V23-4,0))</f>
        <v>CID003449</v>
      </c>
      <c r="G23" s="166" t="str">
        <f ca="1">IF(C23=$X$4,IF(ISERROR($V23),"Enter smelter details","RMI"),IF(ISERROR($V23),"",OFFSET('Smelter Look-up'!$F$4,$V23-4,0)))</f>
        <v>RMI</v>
      </c>
      <c r="H23" s="167">
        <f ca="1">IF(ISERROR($V23),"",OFFSET('Smelter Look-up'!$G$4,$V23-4,0))</f>
        <v>0</v>
      </c>
      <c r="I23" s="168" t="str">
        <f ca="1">IF(ISERROR($V23),"",OFFSET('Smelter Look-up'!$H$4,$V23-4,0))</f>
        <v>Pangkalpinang</v>
      </c>
      <c r="J23" s="168" t="str">
        <f ca="1">IF(ISERROR($V23),"",OFFSET('Smelter Look-up'!$I$4,$V23-4,0))</f>
        <v>Kepulauan Bangka Belitung</v>
      </c>
      <c r="K23" s="207"/>
      <c r="L23" s="207"/>
      <c r="M23" s="207"/>
      <c r="N23" s="207"/>
      <c r="O23" s="207"/>
      <c r="P23" s="169"/>
      <c r="Q23" s="208"/>
      <c r="R23" s="166" t="str">
        <f ca="1">IF(ISERROR($V23),"",OFFSET('Smelter Look-up'!$C$4,$V23-4,0)&amp;"")</f>
        <v>PT Mitra Sukses Globalindo</v>
      </c>
      <c r="S23" s="165" t="str">
        <f t="shared" ca="1" si="2"/>
        <v>ID</v>
      </c>
      <c r="T23" s="165" t="str">
        <f ca="1">IF(B23="","",IF(ISERROR(MATCH($J23,SorP!$B$1:$B$6261,0)),"",INDIRECT("'SorP'!$A$"&amp;MATCH($S23&amp;$J23,SorP!C:C,0))))</f>
        <v>ID-BB</v>
      </c>
      <c r="U23" s="185"/>
      <c r="V23" s="209">
        <f ca="1">IF(C23="",NA(),IF(OR(C23="Smelter not listed",C23="Smelter not yet identified"),MATCH($B23&amp;$D23,'Smelter Look-up'!$J:$J,0),MATCH($B23&amp;$C23,'Smelter Look-up'!$J:$J,0)))</f>
        <v>525</v>
      </c>
      <c r="X23" s="210">
        <f t="shared" ca="1" si="3"/>
        <v>0</v>
      </c>
      <c r="AB23" s="211" t="str">
        <f t="shared" ca="1" si="4"/>
        <v>TinPT Mitra Sukses Globalindo</v>
      </c>
    </row>
    <row r="24" spans="1:28" s="210" customFormat="1" ht="37.5" customHeight="1">
      <c r="A24" s="165" t="s">
        <v>736</v>
      </c>
      <c r="B24" s="166" t="str">
        <f ca="1">IF(LEN(A24)=0,"",INDEX('Smelter Look-up'!$A:$A,MATCH($A24,'Smelter Look-up'!$E:$E,0)))</f>
        <v>Tin</v>
      </c>
      <c r="C24" s="170" t="str">
        <f ca="1">IF(LEN(A24)=0,"",INDEX('Smelter Look-up'!$C:$C,MATCH($A24,'Smelter Look-up'!$E:$E,0)))</f>
        <v>EM Vinto</v>
      </c>
      <c r="D24" s="213"/>
      <c r="E24" s="166" t="str">
        <f ca="1">IF(ISERROR($V24),"",OFFSET('Smelter Look-up'!$D$4,$V24-4,0)&amp;"")</f>
        <v>BOLIVIA (PLURINATIONAL STATE OF)</v>
      </c>
      <c r="F24" s="166" t="str">
        <f ca="1">IF(ISERROR($V24),"",OFFSET('Smelter Look-up'!$E$4,$V24-4,0))</f>
        <v>CID000438</v>
      </c>
      <c r="G24" s="166" t="str">
        <f ca="1">IF(C24=$X$4,IF(ISERROR($V24),"Enter smelter details","RMI"),IF(ISERROR($V24),"",OFFSET('Smelter Look-up'!$F$4,$V24-4,0)))</f>
        <v>RMI</v>
      </c>
      <c r="H24" s="167">
        <f ca="1">IF(ISERROR($V24),"",OFFSET('Smelter Look-up'!$G$4,$V24-4,0))</f>
        <v>0</v>
      </c>
      <c r="I24" s="168" t="str">
        <f ca="1">IF(ISERROR($V24),"",OFFSET('Smelter Look-up'!$H$4,$V24-4,0))</f>
        <v>Oruro</v>
      </c>
      <c r="J24" s="168" t="str">
        <f ca="1">IF(ISERROR($V24),"",OFFSET('Smelter Look-up'!$I$4,$V24-4,0))</f>
        <v>Oruro</v>
      </c>
      <c r="K24" s="207"/>
      <c r="L24" s="207"/>
      <c r="M24" s="207"/>
      <c r="N24" s="207"/>
      <c r="O24" s="207"/>
      <c r="P24" s="169"/>
      <c r="Q24" s="208"/>
      <c r="R24" s="166" t="str">
        <f ca="1">IF(ISERROR($V24),"",OFFSET('Smelter Look-up'!$C$4,$V24-4,0)&amp;"")</f>
        <v>EM Vinto</v>
      </c>
      <c r="S24" s="165" t="str">
        <f t="shared" ca="1" si="2"/>
        <v>Unknown</v>
      </c>
      <c r="T24" s="165" t="e">
        <f ca="1">IF(B24="","",IF(ISERROR(MATCH($J24,SorP!$B$1:$B$6261,0)),"",INDIRECT("'SorP'!$A$"&amp;MATCH($S24&amp;$J24,SorP!C:C,0))))</f>
        <v>#N/A</v>
      </c>
      <c r="U24" s="185"/>
      <c r="V24" s="209">
        <f ca="1">IF(C24="",NA(),IF(OR(C24="Smelter not listed",C24="Smelter not yet identified"),MATCH($B24&amp;$D24,'Smelter Look-up'!$J:$J,0),MATCH($B24&amp;$C24,'Smelter Look-up'!$J:$J,0)))</f>
        <v>453</v>
      </c>
      <c r="X24" s="210">
        <f t="shared" ca="1" si="3"/>
        <v>0</v>
      </c>
      <c r="AB24" s="211" t="str">
        <f t="shared" ca="1" si="4"/>
        <v>TinEM Vinto</v>
      </c>
    </row>
    <row r="25" spans="1:28" s="210" customFormat="1" ht="21" customHeight="1">
      <c r="A25" s="165" t="s">
        <v>756</v>
      </c>
      <c r="B25" s="166" t="str">
        <f ca="1">IF(LEN(A25)=0,"",INDEX('Smelter Look-up'!$A:$A,MATCH($A25,'Smelter Look-up'!$E:$E,0)))</f>
        <v>Tin</v>
      </c>
      <c r="C25" s="170" t="str">
        <f ca="1">IF(LEN(A25)=0,"",INDEX('Smelter Look-up'!$C:$C,MATCH($A25,'Smelter Look-up'!$E:$E,0)))</f>
        <v>Tin Smelting Branch of Yunnan Tin Co., Ltd.</v>
      </c>
      <c r="D25" s="213"/>
      <c r="E25" s="166" t="str">
        <f ca="1">IF(ISERROR($V25),"",OFFSET('Smelter Look-up'!$D$4,$V25-4,0)&amp;"")</f>
        <v>CHINA</v>
      </c>
      <c r="F25" s="166" t="str">
        <f ca="1">IF(ISERROR($V25),"",OFFSET('Smelter Look-up'!$E$4,$V25-4,0))</f>
        <v>CID002180</v>
      </c>
      <c r="G25" s="166" t="str">
        <f ca="1">IF(C25=$X$4,IF(ISERROR($V25),"Enter smelter details","RMI"),IF(ISERROR($V25),"",OFFSET('Smelter Look-up'!$F$4,$V25-4,0)))</f>
        <v>RMI</v>
      </c>
      <c r="H25" s="167">
        <f ca="1">IF(ISERROR($V25),"",OFFSET('Smelter Look-up'!$G$4,$V25-4,0))</f>
        <v>0</v>
      </c>
      <c r="I25" s="168" t="str">
        <f ca="1">IF(ISERROR($V25),"",OFFSET('Smelter Look-up'!$H$4,$V25-4,0))</f>
        <v>Gejiu</v>
      </c>
      <c r="J25" s="168" t="str">
        <f ca="1">IF(ISERROR($V25),"",OFFSET('Smelter Look-up'!$I$4,$V25-4,0))</f>
        <v>Yunnan Sheng</v>
      </c>
      <c r="K25" s="207"/>
      <c r="L25" s="207"/>
      <c r="M25" s="207"/>
      <c r="N25" s="207"/>
      <c r="O25" s="207"/>
      <c r="P25" s="169"/>
      <c r="Q25" s="208"/>
      <c r="R25" s="166" t="str">
        <f ca="1">IF(ISERROR($V25),"",OFFSET('Smelter Look-up'!$C$4,$V25-4,0)&amp;"")</f>
        <v>Tin Smelting Branch of Yunnan Tin Co., Ltd.</v>
      </c>
      <c r="S25" s="165" t="str">
        <f t="shared" ca="1" si="2"/>
        <v>CN</v>
      </c>
      <c r="T25" s="165" t="str">
        <f ca="1">IF(B25="","",IF(ISERROR(MATCH($J25,SorP!$B$1:$B$6261,0)),"",INDIRECT("'SorP'!$A$"&amp;MATCH($S25&amp;$J25,SorP!C:C,0))))</f>
        <v>CN-YN</v>
      </c>
      <c r="U25" s="185"/>
      <c r="V25" s="209">
        <f ca="1">IF(C25="",NA(),IF(OR(C25="Smelter not listed",C25="Smelter not yet identified"),MATCH($B25&amp;$D25,'Smelter Look-up'!$J:$J,0),MATCH($B25&amp;$C25,'Smelter Look-up'!$J:$J,0)))</f>
        <v>546</v>
      </c>
      <c r="X25" s="210">
        <f t="shared" ca="1" si="3"/>
        <v>0</v>
      </c>
      <c r="AB25" s="211" t="str">
        <f t="shared" ca="1" si="4"/>
        <v>TinTin Smelting Branch of Yunnan Tin Co., Ltd.</v>
      </c>
    </row>
    <row r="26" spans="1:28" s="210" customFormat="1" ht="25.5">
      <c r="A26" s="165" t="s">
        <v>631</v>
      </c>
      <c r="B26" s="166" t="str">
        <f ca="1">IF(LEN(A26)=0,"",INDEX('Smelter Look-up'!$A:$A,MATCH($A26,'Smelter Look-up'!$E:$E,0)))</f>
        <v>Gold</v>
      </c>
      <c r="C26" s="170" t="str">
        <f ca="1">IF(LEN(A26)=0,"",INDEX('Smelter Look-up'!$C:$C,MATCH($A26,'Smelter Look-up'!$E:$E,0)))</f>
        <v>Agosi AG</v>
      </c>
      <c r="D26" s="213"/>
      <c r="E26" s="166" t="str">
        <f ca="1">IF(ISERROR($V26),"",OFFSET('Smelter Look-up'!$D$4,$V26-4,0)&amp;"")</f>
        <v>GERMANY</v>
      </c>
      <c r="F26" s="166" t="str">
        <f ca="1">IF(ISERROR($V26),"",OFFSET('Smelter Look-up'!$E$4,$V26-4,0))</f>
        <v>CID000035</v>
      </c>
      <c r="G26" s="166" t="str">
        <f ca="1">IF(C26=$X$4,IF(ISERROR($V26),"Enter smelter details","RMI"),IF(ISERROR($V26),"",OFFSET('Smelter Look-up'!$F$4,$V26-4,0)))</f>
        <v>RMI</v>
      </c>
      <c r="H26" s="167">
        <f ca="1">IF(ISERROR($V26),"",OFFSET('Smelter Look-up'!$G$4,$V26-4,0))</f>
        <v>0</v>
      </c>
      <c r="I26" s="168" t="str">
        <f ca="1">IF(ISERROR($V26),"",OFFSET('Smelter Look-up'!$H$4,$V26-4,0))</f>
        <v>Pforzheim</v>
      </c>
      <c r="J26" s="168" t="str">
        <f ca="1">IF(ISERROR($V26),"",OFFSET('Smelter Look-up'!$I$4,$V26-4,0))</f>
        <v>Baden-Württemberg</v>
      </c>
      <c r="K26" s="207"/>
      <c r="L26" s="207"/>
      <c r="M26" s="207"/>
      <c r="N26" s="207"/>
      <c r="O26" s="207"/>
      <c r="P26" s="169"/>
      <c r="Q26" s="208"/>
      <c r="R26" s="166" t="str">
        <f ca="1">IF(ISERROR($V26),"",OFFSET('Smelter Look-up'!$C$4,$V26-4,0)&amp;"")</f>
        <v>Agosi AG</v>
      </c>
      <c r="S26" s="165" t="str">
        <f t="shared" ca="1" si="2"/>
        <v>DE</v>
      </c>
      <c r="T26" s="165" t="str">
        <f ca="1">IF(B26="","",IF(ISERROR(MATCH($J26,SorP!$B$1:$B$6261,0)),"",INDIRECT("'SorP'!$A$"&amp;MATCH($S26&amp;$J26,SorP!C:C,0))))</f>
        <v>DE-BW</v>
      </c>
      <c r="U26" s="185"/>
      <c r="V26" s="209">
        <f ca="1">IF(C26="",NA(),IF(OR(C26="Smelter not listed",C26="Smelter not yet identified"),MATCH($B26&amp;$D26,'Smelter Look-up'!$J:$J,0),MATCH($B26&amp;$C26,'Smelter Look-up'!$J:$J,0)))</f>
        <v>10</v>
      </c>
      <c r="X26" s="210">
        <f t="shared" ca="1" si="3"/>
        <v>0</v>
      </c>
      <c r="AB26" s="211" t="str">
        <f t="shared" ca="1" si="4"/>
        <v>GoldAgosi AG</v>
      </c>
    </row>
    <row r="27" spans="1:28" s="210" customFormat="1" ht="24" customHeight="1">
      <c r="A27" s="165" t="s">
        <v>710</v>
      </c>
      <c r="B27" s="166" t="str">
        <f ca="1">IF(LEN(A27)=0,"",INDEX('Smelter Look-up'!$A:$A,MATCH($A27,'Smelter Look-up'!$E:$E,0)))</f>
        <v>Gold</v>
      </c>
      <c r="C27" s="170" t="str">
        <f ca="1">IF(LEN(A27)=0,"",INDEX('Smelter Look-up'!$C:$C,MATCH($A27,'Smelter Look-up'!$E:$E,0)))</f>
        <v>Umicore S.A. Business Unit Precious Metals Refining</v>
      </c>
      <c r="D27" s="213"/>
      <c r="E27" s="166" t="str">
        <f ca="1">IF(ISERROR($V27),"",OFFSET('Smelter Look-up'!$D$4,$V27-4,0)&amp;"")</f>
        <v>BELGIUM</v>
      </c>
      <c r="F27" s="166" t="str">
        <f ca="1">IF(ISERROR($V27),"",OFFSET('Smelter Look-up'!$E$4,$V27-4,0))</f>
        <v>CID001980</v>
      </c>
      <c r="G27" s="166" t="str">
        <f ca="1">IF(C27=$X$4,IF(ISERROR($V27),"Enter smelter details","RMI"),IF(ISERROR($V27),"",OFFSET('Smelter Look-up'!$F$4,$V27-4,0)))</f>
        <v>RMI</v>
      </c>
      <c r="H27" s="167">
        <f ca="1">IF(ISERROR($V27),"",OFFSET('Smelter Look-up'!$G$4,$V27-4,0))</f>
        <v>0</v>
      </c>
      <c r="I27" s="168" t="str">
        <f ca="1">IF(ISERROR($V27),"",OFFSET('Smelter Look-up'!$H$4,$V27-4,0))</f>
        <v>Hoboken</v>
      </c>
      <c r="J27" s="168" t="str">
        <f ca="1">IF(ISERROR($V27),"",OFFSET('Smelter Look-up'!$I$4,$V27-4,0))</f>
        <v>Antwerpen</v>
      </c>
      <c r="K27" s="207"/>
      <c r="L27" s="207"/>
      <c r="M27" s="207"/>
      <c r="N27" s="207"/>
      <c r="O27" s="207"/>
      <c r="P27" s="169"/>
      <c r="Q27" s="208"/>
      <c r="R27" s="166" t="str">
        <f ca="1">IF(ISERROR($V27),"",OFFSET('Smelter Look-up'!$C$4,$V27-4,0)&amp;"")</f>
        <v>Umicore S.A. Business Unit Precious Metals Refining</v>
      </c>
      <c r="S27" s="165" t="str">
        <f t="shared" ca="1" si="2"/>
        <v>BE</v>
      </c>
      <c r="T27" s="165" t="str">
        <f ca="1">IF(B27="","",IF(ISERROR(MATCH($J27,SorP!$B$1:$B$6261,0)),"",INDIRECT("'SorP'!$A$"&amp;MATCH($S27&amp;$J27,SorP!C:C,0))))</f>
        <v>BE-VAN</v>
      </c>
      <c r="U27" s="185"/>
      <c r="V27" s="209">
        <f ca="1">IF(C27="",NA(),IF(OR(C27="Smelter not listed",C27="Smelter not yet identified"),MATCH($B27&amp;$D27,'Smelter Look-up'!$J:$J,0),MATCH($B27&amp;$C27,'Smelter Look-up'!$J:$J,0)))</f>
        <v>319</v>
      </c>
      <c r="X27" s="210">
        <f t="shared" ca="1" si="3"/>
        <v>0</v>
      </c>
      <c r="AB27" s="211" t="str">
        <f t="shared" ca="1" si="4"/>
        <v>GoldUmicore S.A. Business Unit Precious Metals Refining</v>
      </c>
    </row>
    <row r="28" spans="1:28" s="210" customFormat="1" ht="21" customHeight="1">
      <c r="A28" s="165" t="s">
        <v>754</v>
      </c>
      <c r="B28" s="166" t="str">
        <f ca="1">IF(LEN(A28)=0,"",INDEX('Smelter Look-up'!$A:$A,MATCH($A28,'Smelter Look-up'!$E:$E,0)))</f>
        <v>Tin</v>
      </c>
      <c r="C28" s="170" t="str">
        <f ca="1">IF(LEN(A28)=0,"",INDEX('Smelter Look-up'!$C:$C,MATCH($A28,'Smelter Look-up'!$E:$E,0)))</f>
        <v>White Solder Metalurgia e Mineracao Ltda.</v>
      </c>
      <c r="D28" s="213"/>
      <c r="E28" s="166" t="str">
        <f ca="1">IF(ISERROR($V28),"",OFFSET('Smelter Look-up'!$D$4,$V28-4,0)&amp;"")</f>
        <v>BRAZIL</v>
      </c>
      <c r="F28" s="166" t="str">
        <f ca="1">IF(ISERROR($V28),"",OFFSET('Smelter Look-up'!$E$4,$V28-4,0))</f>
        <v>CID002036</v>
      </c>
      <c r="G28" s="166" t="str">
        <f ca="1">IF(C28=$X$4,IF(ISERROR($V28),"Enter smelter details","RMI"),IF(ISERROR($V28),"",OFFSET('Smelter Look-up'!$F$4,$V28-4,0)))</f>
        <v>RMI</v>
      </c>
      <c r="H28" s="167">
        <f ca="1">IF(ISERROR($V28),"",OFFSET('Smelter Look-up'!$G$4,$V28-4,0))</f>
        <v>0</v>
      </c>
      <c r="I28" s="168" t="str">
        <f ca="1">IF(ISERROR($V28),"",OFFSET('Smelter Look-up'!$H$4,$V28-4,0))</f>
        <v>Ariquemes</v>
      </c>
      <c r="J28" s="168" t="str">
        <f ca="1">IF(ISERROR($V28),"",OFFSET('Smelter Look-up'!$I$4,$V28-4,0))</f>
        <v>Rondônia</v>
      </c>
      <c r="K28" s="207"/>
      <c r="L28" s="207"/>
      <c r="M28" s="207"/>
      <c r="N28" s="207"/>
      <c r="O28" s="207"/>
      <c r="P28" s="169"/>
      <c r="Q28" s="208"/>
      <c r="R28" s="166" t="str">
        <f ca="1">IF(ISERROR($V28),"",OFFSET('Smelter Look-up'!$C$4,$V28-4,0)&amp;"")</f>
        <v>White Solder Metalurgia e Mineracao Ltda.</v>
      </c>
      <c r="S28" s="165" t="str">
        <f t="shared" ca="1" si="2"/>
        <v>BR</v>
      </c>
      <c r="T28" s="165" t="str">
        <f ca="1">IF(B28="","",IF(ISERROR(MATCH($J28,SorP!$B$1:$B$6261,0)),"",INDIRECT("'SorP'!$A$"&amp;MATCH($S28&amp;$J28,SorP!C:C,0))))</f>
        <v>BR-RO</v>
      </c>
      <c r="U28" s="185"/>
      <c r="V28" s="209">
        <f ca="1">IF(C28="",NA(),IF(OR(C28="Smelter not listed",C28="Smelter not yet identified"),MATCH($B28&amp;$D28,'Smelter Look-up'!$J:$J,0),MATCH($B28&amp;$C28,'Smelter Look-up'!$J:$J,0)))</f>
        <v>551</v>
      </c>
      <c r="X28" s="210">
        <f t="shared" ca="1" si="3"/>
        <v>0</v>
      </c>
      <c r="AB28" s="211" t="str">
        <f t="shared" ca="1" si="4"/>
        <v>TinWhite Solder Metalurgia e Mineracao Ltda.</v>
      </c>
    </row>
    <row r="29" spans="1:28" s="210" customFormat="1" ht="22.5" customHeight="1">
      <c r="A29" s="165" t="s">
        <v>14529</v>
      </c>
      <c r="B29" s="166" t="str">
        <f ca="1">IF(LEN(A29)=0,"",INDEX('Smelter Look-up'!$A:$A,MATCH($A29,'Smelter Look-up'!$E:$E,0)))</f>
        <v>Tin</v>
      </c>
      <c r="C29" s="170" t="str">
        <f ca="1">IF(LEN(A29)=0,"",INDEX('Smelter Look-up'!$C:$C,MATCH($A29,'Smelter Look-up'!$E:$E,0)))</f>
        <v>CRM Synergies EMEA, S.L.U.</v>
      </c>
      <c r="D29" s="213"/>
      <c r="E29" s="166" t="str">
        <f ca="1">IF(ISERROR($V29),"",OFFSET('Smelter Look-up'!$D$4,$V29-4,0)&amp;"")</f>
        <v>SPAIN</v>
      </c>
      <c r="F29" s="166" t="str">
        <f ca="1">IF(ISERROR($V29),"",OFFSET('Smelter Look-up'!$E$4,$V29-4,0))</f>
        <v>CID003524</v>
      </c>
      <c r="G29" s="166" t="str">
        <f ca="1">IF(C29=$X$4,IF(ISERROR($V29),"Enter smelter details","RMI"),IF(ISERROR($V29),"",OFFSET('Smelter Look-up'!$F$4,$V29-4,0)))</f>
        <v>RMI</v>
      </c>
      <c r="H29" s="167">
        <f ca="1">IF(ISERROR($V29),"",OFFSET('Smelter Look-up'!$G$4,$V29-4,0))</f>
        <v>0</v>
      </c>
      <c r="I29" s="168" t="str">
        <f ca="1">IF(ISERROR($V29),"",OFFSET('Smelter Look-up'!$H$4,$V29-4,0))</f>
        <v>Las Ventas de Retamosa</v>
      </c>
      <c r="J29" s="168" t="str">
        <f ca="1">IF(ISERROR($V29),"",OFFSET('Smelter Look-up'!$I$4,$V29-4,0))</f>
        <v>Toledo</v>
      </c>
      <c r="K29" s="207"/>
      <c r="L29" s="207"/>
      <c r="M29" s="207"/>
      <c r="N29" s="207"/>
      <c r="O29" s="207"/>
      <c r="P29" s="169"/>
      <c r="Q29" s="208"/>
      <c r="R29" s="166" t="str">
        <f ca="1">IF(ISERROR($V29),"",OFFSET('Smelter Look-up'!$C$4,$V29-4,0)&amp;"")</f>
        <v>CRM Synergies EMEA, S.L.U.</v>
      </c>
      <c r="S29" s="165" t="str">
        <f t="shared" ca="1" si="2"/>
        <v>ES</v>
      </c>
      <c r="T29" s="165" t="str">
        <f ca="1">IF(B29="","",IF(ISERROR(MATCH($J29,SorP!$B$1:$B$6261,0)),"",INDIRECT("'SorP'!$A$"&amp;MATCH($S29&amp;$J29,SorP!C:C,0))))</f>
        <v>ES-TO</v>
      </c>
      <c r="U29" s="185"/>
      <c r="V29" s="209">
        <f ca="1">IF(C29="",NA(),IF(OR(C29="Smelter not listed",C29="Smelter not yet identified"),MATCH($B29&amp;$D29,'Smelter Look-up'!$J:$J,0),MATCH($B29&amp;$C29,'Smelter Look-up'!$J:$J,0)))</f>
        <v>442</v>
      </c>
      <c r="X29" s="210">
        <f t="shared" ca="1" si="3"/>
        <v>0</v>
      </c>
      <c r="AB29" s="211" t="str">
        <f t="shared" ca="1" si="4"/>
        <v>TinCRM Synergies EMEA, S.L.U.</v>
      </c>
    </row>
    <row r="30" spans="1:28" s="210" customFormat="1" ht="23.25" customHeight="1">
      <c r="A30" s="165" t="s">
        <v>677</v>
      </c>
      <c r="B30" s="166" t="str">
        <f ca="1">IF(LEN(A30)=0,"",INDEX('Smelter Look-up'!$A:$A,MATCH($A30,'Smelter Look-up'!$E:$E,0)))</f>
        <v>Gold</v>
      </c>
      <c r="C30" s="170" t="str">
        <f ca="1">IF(LEN(A30)=0,"",INDEX('Smelter Look-up'!$C:$C,MATCH($A30,'Smelter Look-up'!$E:$E,0)))</f>
        <v>Metalor Technologies (Hong Kong) Ltd.</v>
      </c>
      <c r="D30" s="213"/>
      <c r="E30" s="166" t="str">
        <f ca="1">IF(ISERROR($V30),"",OFFSET('Smelter Look-up'!$D$4,$V30-4,0)&amp;"")</f>
        <v>CHINA</v>
      </c>
      <c r="F30" s="166" t="str">
        <f ca="1">IF(ISERROR($V30),"",OFFSET('Smelter Look-up'!$E$4,$V30-4,0))</f>
        <v>CID001149</v>
      </c>
      <c r="G30" s="166" t="str">
        <f ca="1">IF(C30=$X$4,IF(ISERROR($V30),"Enter smelter details","RMI"),IF(ISERROR($V30),"",OFFSET('Smelter Look-up'!$F$4,$V30-4,0)))</f>
        <v>RMI</v>
      </c>
      <c r="H30" s="167">
        <f ca="1">IF(ISERROR($V30),"",OFFSET('Smelter Look-up'!$G$4,$V30-4,0))</f>
        <v>0</v>
      </c>
      <c r="I30" s="168" t="str">
        <f ca="1">IF(ISERROR($V30),"",OFFSET('Smelter Look-up'!$H$4,$V30-4,0))</f>
        <v>Yuen Long</v>
      </c>
      <c r="J30" s="168" t="str">
        <f ca="1">IF(ISERROR($V30),"",OFFSET('Smelter Look-up'!$I$4,$V30-4,0))</f>
        <v>Hong Kong SAR</v>
      </c>
      <c r="K30" s="207"/>
      <c r="L30" s="207"/>
      <c r="M30" s="207"/>
      <c r="N30" s="207"/>
      <c r="O30" s="207"/>
      <c r="P30" s="169"/>
      <c r="Q30" s="208"/>
      <c r="R30" s="166" t="str">
        <f ca="1">IF(ISERROR($V30),"",OFFSET('Smelter Look-up'!$C$4,$V30-4,0)&amp;"")</f>
        <v>Metalor Technologies (Hong Kong) Ltd.</v>
      </c>
      <c r="S30" s="165" t="str">
        <f t="shared" ca="1" si="2"/>
        <v>CN</v>
      </c>
      <c r="T30" s="165" t="str">
        <f ca="1">IF(B30="","",IF(ISERROR(MATCH($J30,SorP!$B$1:$B$6261,0)),"",INDIRECT("'SorP'!$A$"&amp;MATCH($S30&amp;$J30,SorP!C:C,0))))</f>
        <v/>
      </c>
      <c r="U30" s="185"/>
      <c r="V30" s="209">
        <f ca="1">IF(C30="",NA(),IF(OR(C30="Smelter not listed",C30="Smelter not yet identified"),MATCH($B30&amp;$D30,'Smelter Look-up'!$J:$J,0),MATCH($B30&amp;$C30,'Smelter Look-up'!$J:$J,0)))</f>
        <v>193</v>
      </c>
      <c r="X30" s="210">
        <f t="shared" ca="1" si="3"/>
        <v>0</v>
      </c>
      <c r="AB30" s="211" t="str">
        <f t="shared" ca="1" si="4"/>
        <v>GoldMetalor Technologies (Hong Kong) Ltd.</v>
      </c>
    </row>
    <row r="31" spans="1:28" s="210" customFormat="1" ht="32.25" customHeight="1">
      <c r="A31" s="165" t="s">
        <v>678</v>
      </c>
      <c r="B31" s="166" t="str">
        <f ca="1">IF(LEN(A31)=0,"",INDEX('Smelter Look-up'!$A:$A,MATCH($A31,'Smelter Look-up'!$E:$E,0)))</f>
        <v>Gold</v>
      </c>
      <c r="C31" s="170" t="str">
        <f ca="1">IF(LEN(A31)=0,"",INDEX('Smelter Look-up'!$C:$C,MATCH($A31,'Smelter Look-up'!$E:$E,0)))</f>
        <v>Metalor Technologies (Singapore) Pte., Ltd.</v>
      </c>
      <c r="D31" s="213"/>
      <c r="E31" s="166" t="str">
        <f ca="1">IF(ISERROR($V31),"",OFFSET('Smelter Look-up'!$D$4,$V31-4,0)&amp;"")</f>
        <v>SINGAPORE</v>
      </c>
      <c r="F31" s="166" t="str">
        <f ca="1">IF(ISERROR($V31),"",OFFSET('Smelter Look-up'!$E$4,$V31-4,0))</f>
        <v>CID001152</v>
      </c>
      <c r="G31" s="166" t="str">
        <f ca="1">IF(C31=$X$4,IF(ISERROR($V31),"Enter smelter details","RMI"),IF(ISERROR($V31),"",OFFSET('Smelter Look-up'!$F$4,$V31-4,0)))</f>
        <v>RMI</v>
      </c>
      <c r="H31" s="167">
        <f ca="1">IF(ISERROR($V31),"",OFFSET('Smelter Look-up'!$G$4,$V31-4,0))</f>
        <v>0</v>
      </c>
      <c r="I31" s="168" t="str">
        <f ca="1">IF(ISERROR($V31),"",OFFSET('Smelter Look-up'!$H$4,$V31-4,0))</f>
        <v>Singapore</v>
      </c>
      <c r="J31" s="168" t="str">
        <f ca="1">IF(ISERROR($V31),"",OFFSET('Smelter Look-up'!$I$4,$V31-4,0))</f>
        <v>South West</v>
      </c>
      <c r="K31" s="207"/>
      <c r="L31" s="207"/>
      <c r="M31" s="207"/>
      <c r="N31" s="207"/>
      <c r="O31" s="207"/>
      <c r="P31" s="169"/>
      <c r="Q31" s="208"/>
      <c r="R31" s="166" t="str">
        <f ca="1">IF(ISERROR($V31),"",OFFSET('Smelter Look-up'!$C$4,$V31-4,0)&amp;"")</f>
        <v>Metalor Technologies (Singapore) Pte., Ltd.</v>
      </c>
      <c r="S31" s="165" t="str">
        <f t="shared" ca="1" si="2"/>
        <v>SG</v>
      </c>
      <c r="T31" s="165" t="str">
        <f ca="1">IF(B31="","",IF(ISERROR(MATCH($J31,SorP!$B$1:$B$6261,0)),"",INDIRECT("'SorP'!$A$"&amp;MATCH($S31&amp;$J31,SorP!C:C,0))))</f>
        <v>SG-05</v>
      </c>
      <c r="U31" s="185"/>
      <c r="V31" s="209">
        <f ca="1">IF(C31="",NA(),IF(OR(C31="Smelter not listed",C31="Smelter not yet identified"),MATCH($B31&amp;$D31,'Smelter Look-up'!$J:$J,0),MATCH($B31&amp;$C31,'Smelter Look-up'!$J:$J,0)))</f>
        <v>194</v>
      </c>
      <c r="X31" s="210">
        <f t="shared" ca="1" si="3"/>
        <v>0</v>
      </c>
      <c r="AB31" s="211" t="str">
        <f t="shared" ca="1" si="4"/>
        <v>GoldMetalor Technologies (Singapore) Pte., Ltd.</v>
      </c>
    </row>
    <row r="32" spans="1:28" s="210" customFormat="1" ht="20.25" customHeight="1">
      <c r="A32" s="165" t="s">
        <v>1562</v>
      </c>
      <c r="B32" s="166" t="str">
        <f ca="1">IF(LEN(A32)=0,"",INDEX('Smelter Look-up'!$A:$A,MATCH($A32,'Smelter Look-up'!$E:$E,0)))</f>
        <v>Gold</v>
      </c>
      <c r="C32" s="170" t="str">
        <f ca="1">IF(LEN(A32)=0,"",INDEX('Smelter Look-up'!$C:$C,MATCH($A32,'Smelter Look-up'!$E:$E,0)))</f>
        <v>Metalor Technologies (Suzhou) Ltd.</v>
      </c>
      <c r="D32" s="213"/>
      <c r="E32" s="166" t="str">
        <f ca="1">IF(ISERROR($V32),"",OFFSET('Smelter Look-up'!$D$4,$V32-4,0)&amp;"")</f>
        <v>CHINA</v>
      </c>
      <c r="F32" s="166" t="str">
        <f ca="1">IF(ISERROR($V32),"",OFFSET('Smelter Look-up'!$E$4,$V32-4,0))</f>
        <v>CID001147</v>
      </c>
      <c r="G32" s="166" t="str">
        <f ca="1">IF(C32=$X$4,IF(ISERROR($V32),"Enter smelter details","RMI"),IF(ISERROR($V32),"",OFFSET('Smelter Look-up'!$F$4,$V32-4,0)))</f>
        <v>RMI</v>
      </c>
      <c r="H32" s="167">
        <f ca="1">IF(ISERROR($V32),"",OFFSET('Smelter Look-up'!$G$4,$V32-4,0))</f>
        <v>0</v>
      </c>
      <c r="I32" s="168" t="str">
        <f ca="1">IF(ISERROR($V32),"",OFFSET('Smelter Look-up'!$H$4,$V32-4,0))</f>
        <v>Suzhou</v>
      </c>
      <c r="J32" s="168" t="str">
        <f ca="1">IF(ISERROR($V32),"",OFFSET('Smelter Look-up'!$I$4,$V32-4,0))</f>
        <v>Jiangsu Sheng</v>
      </c>
      <c r="K32" s="207"/>
      <c r="L32" s="207"/>
      <c r="M32" s="207"/>
      <c r="N32" s="207"/>
      <c r="O32" s="207"/>
      <c r="P32" s="169"/>
      <c r="Q32" s="208"/>
      <c r="R32" s="166" t="str">
        <f ca="1">IF(ISERROR($V32),"",OFFSET('Smelter Look-up'!$C$4,$V32-4,0)&amp;"")</f>
        <v>Metalor Technologies (Suzhou) Ltd.</v>
      </c>
      <c r="S32" s="165" t="str">
        <f t="shared" ca="1" si="2"/>
        <v>CN</v>
      </c>
      <c r="T32" s="165" t="str">
        <f ca="1">IF(B32="","",IF(ISERROR(MATCH($J32,SorP!$B$1:$B$6261,0)),"",INDIRECT("'SorP'!$A$"&amp;MATCH($S32&amp;$J32,SorP!C:C,0))))</f>
        <v>CN-JS</v>
      </c>
      <c r="U32" s="185"/>
      <c r="V32" s="209">
        <f ca="1">IF(C32="",NA(),IF(OR(C32="Smelter not listed",C32="Smelter not yet identified"),MATCH($B32&amp;$D32,'Smelter Look-up'!$J:$J,0),MATCH($B32&amp;$C32,'Smelter Look-up'!$J:$J,0)))</f>
        <v>195</v>
      </c>
      <c r="X32" s="210">
        <f t="shared" ca="1" si="3"/>
        <v>0</v>
      </c>
      <c r="AB32" s="211" t="str">
        <f t="shared" ca="1" si="4"/>
        <v>GoldMetalor Technologies (Suzhou) Ltd.</v>
      </c>
    </row>
    <row r="33" spans="1:28" s="210" customFormat="1" ht="28.5" customHeight="1">
      <c r="A33" s="165" t="s">
        <v>680</v>
      </c>
      <c r="B33" s="166" t="str">
        <f ca="1">IF(LEN(A33)=0,"",INDEX('Smelter Look-up'!$A:$A,MATCH($A33,'Smelter Look-up'!$E:$E,0)))</f>
        <v>Gold</v>
      </c>
      <c r="C33" s="170" t="str">
        <f ca="1">IF(LEN(A33)=0,"",INDEX('Smelter Look-up'!$C:$C,MATCH($A33,'Smelter Look-up'!$E:$E,0)))</f>
        <v>Metalor USA Refining Corporation</v>
      </c>
      <c r="D33" s="213"/>
      <c r="E33" s="166" t="str">
        <f ca="1">IF(ISERROR($V33),"",OFFSET('Smelter Look-up'!$D$4,$V33-4,0)&amp;"")</f>
        <v>UNITED STATES OF AMERICA</v>
      </c>
      <c r="F33" s="166" t="str">
        <f ca="1">IF(ISERROR($V33),"",OFFSET('Smelter Look-up'!$E$4,$V33-4,0))</f>
        <v>CID001157</v>
      </c>
      <c r="G33" s="166" t="str">
        <f ca="1">IF(C33=$X$4,IF(ISERROR($V33),"Enter smelter details","RMI"),IF(ISERROR($V33),"",OFFSET('Smelter Look-up'!$F$4,$V33-4,0)))</f>
        <v>RMI</v>
      </c>
      <c r="H33" s="167">
        <f ca="1">IF(ISERROR($V33),"",OFFSET('Smelter Look-up'!$G$4,$V33-4,0))</f>
        <v>0</v>
      </c>
      <c r="I33" s="168" t="str">
        <f ca="1">IF(ISERROR($V33),"",OFFSET('Smelter Look-up'!$H$4,$V33-4,0))</f>
        <v>North Attleboro</v>
      </c>
      <c r="J33" s="168" t="str">
        <f ca="1">IF(ISERROR($V33),"",OFFSET('Smelter Look-up'!$I$4,$V33-4,0))</f>
        <v>Massachusetts</v>
      </c>
      <c r="K33" s="207"/>
      <c r="L33" s="207"/>
      <c r="M33" s="207"/>
      <c r="N33" s="207"/>
      <c r="O33" s="207"/>
      <c r="P33" s="169"/>
      <c r="Q33" s="208"/>
      <c r="R33" s="166" t="str">
        <f ca="1">IF(ISERROR($V33),"",OFFSET('Smelter Look-up'!$C$4,$V33-4,0)&amp;"")</f>
        <v>Metalor USA Refining Corporation</v>
      </c>
      <c r="S33" s="165" t="str">
        <f t="shared" ca="1" si="2"/>
        <v>US</v>
      </c>
      <c r="T33" s="165" t="str">
        <f ca="1">IF(B33="","",IF(ISERROR(MATCH($J33,SorP!$B$1:$B$6261,0)),"",INDIRECT("'SorP'!$A$"&amp;MATCH($S33&amp;$J33,SorP!C:C,0))))</f>
        <v>US-MA</v>
      </c>
      <c r="U33" s="185"/>
      <c r="V33" s="209">
        <f ca="1">IF(C33="",NA(),IF(OR(C33="Smelter not listed",C33="Smelter not yet identified"),MATCH($B33&amp;$D33,'Smelter Look-up'!$J:$J,0),MATCH($B33&amp;$C33,'Smelter Look-up'!$J:$J,0)))</f>
        <v>197</v>
      </c>
      <c r="X33" s="210">
        <f t="shared" ca="1" si="3"/>
        <v>0</v>
      </c>
      <c r="AB33" s="211" t="str">
        <f t="shared" ca="1" si="4"/>
        <v>GoldMetalor USA Refining Corporation</v>
      </c>
    </row>
    <row r="34" spans="1:28" s="210" customFormat="1" ht="24" customHeight="1">
      <c r="A34" s="165" t="s">
        <v>735</v>
      </c>
      <c r="B34" s="166" t="str">
        <f ca="1">IF(LEN(A34)=0,"",INDEX('Smelter Look-up'!$A:$A,MATCH($A34,'Smelter Look-up'!$E:$E,0)))</f>
        <v>Tin</v>
      </c>
      <c r="C34" s="170" t="str">
        <f ca="1">IF(LEN(A34)=0,"",INDEX('Smelter Look-up'!$C:$C,MATCH($A34,'Smelter Look-up'!$E:$E,0)))</f>
        <v>Alpha Assembly Solutions Inc</v>
      </c>
      <c r="D34" s="213"/>
      <c r="E34" s="166" t="str">
        <f ca="1">IF(ISERROR($V34),"",OFFSET('Smelter Look-up'!$D$4,$V34-4,0)&amp;"")</f>
        <v>UNITED STATES OF AMERICA</v>
      </c>
      <c r="F34" s="166" t="str">
        <f ca="1">IF(ISERROR($V34),"",OFFSET('Smelter Look-up'!$E$4,$V34-4,0))</f>
        <v>CID000292</v>
      </c>
      <c r="G34" s="166" t="str">
        <f ca="1">IF(C34=$X$4,IF(ISERROR($V34),"Enter smelter details","RMI"),IF(ISERROR($V34),"",OFFSET('Smelter Look-up'!$F$4,$V34-4,0)))</f>
        <v>RMI</v>
      </c>
      <c r="H34" s="167">
        <f ca="1">IF(ISERROR($V34),"",OFFSET('Smelter Look-up'!$G$4,$V34-4,0))</f>
        <v>0</v>
      </c>
      <c r="I34" s="168" t="str">
        <f ca="1">IF(ISERROR($V34),"",OFFSET('Smelter Look-up'!$H$4,$V34-4,0))</f>
        <v>Altoona</v>
      </c>
      <c r="J34" s="168" t="str">
        <f ca="1">IF(ISERROR($V34),"",OFFSET('Smelter Look-up'!$I$4,$V34-4,0))</f>
        <v>Pennsylvania</v>
      </c>
      <c r="K34" s="207"/>
      <c r="L34" s="207"/>
      <c r="M34" s="207"/>
      <c r="N34" s="207"/>
      <c r="O34" s="207"/>
      <c r="P34" s="169"/>
      <c r="Q34" s="208"/>
      <c r="R34" s="166" t="str">
        <f ca="1">IF(ISERROR($V34),"",OFFSET('Smelter Look-up'!$C$4,$V34-4,0)&amp;"")</f>
        <v>Alpha Assembly Solutions Inc</v>
      </c>
      <c r="S34" s="165" t="str">
        <f t="shared" ca="1" si="2"/>
        <v>US</v>
      </c>
      <c r="T34" s="165" t="str">
        <f ca="1">IF(B34="","",IF(ISERROR(MATCH($J34,SorP!$B$1:$B$6261,0)),"",INDIRECT("'SorP'!$A$"&amp;MATCH($S34&amp;$J34,SorP!C:C,0))))</f>
        <v>US-PA</v>
      </c>
      <c r="U34" s="185"/>
      <c r="V34" s="209">
        <f ca="1">IF(C34="",NA(),IF(OR(C34="Smelter not listed",C34="Smelter not yet identified"),MATCH($B34&amp;$D34,'Smelter Look-up'!$J:$J,0),MATCH($B34&amp;$C34,'Smelter Look-up'!$J:$J,0)))</f>
        <v>418</v>
      </c>
      <c r="X34" s="210">
        <f t="shared" ca="1" si="3"/>
        <v>0</v>
      </c>
      <c r="AB34" s="211" t="str">
        <f t="shared" ca="1" si="4"/>
        <v>TinAlpha Assembly Solutions Inc</v>
      </c>
    </row>
    <row r="35" spans="1:28" s="210" customFormat="1" ht="24.75" customHeight="1">
      <c r="A35" s="165" t="s">
        <v>2175</v>
      </c>
      <c r="B35" s="166" t="str">
        <f ca="1">IF(LEN(A35)=0,"",INDEX('Smelter Look-up'!$A:$A,MATCH($A35,'Smelter Look-up'!$E:$E,0)))</f>
        <v>Tin</v>
      </c>
      <c r="C35" s="170" t="str">
        <f ca="1">IF(LEN(A35)=0,"",INDEX('Smelter Look-up'!$C:$C,MATCH($A35,'Smelter Look-up'!$E:$E,0)))</f>
        <v>Chenzhou Yunxiang Mining and Metallurgy Co., Ltd.</v>
      </c>
      <c r="D35" s="213"/>
      <c r="E35" s="166" t="str">
        <f ca="1">IF(ISERROR($V35),"",OFFSET('Smelter Look-up'!$D$4,$V35-4,0)&amp;"")</f>
        <v>CHINA</v>
      </c>
      <c r="F35" s="166" t="str">
        <f ca="1">IF(ISERROR($V35),"",OFFSET('Smelter Look-up'!$E$4,$V35-4,0))</f>
        <v>CID000228</v>
      </c>
      <c r="G35" s="166" t="str">
        <f ca="1">IF(C35=$X$4,IF(ISERROR($V35),"Enter smelter details","RMI"),IF(ISERROR($V35),"",OFFSET('Smelter Look-up'!$F$4,$V35-4,0)))</f>
        <v>RMI</v>
      </c>
      <c r="H35" s="167">
        <f ca="1">IF(ISERROR($V35),"",OFFSET('Smelter Look-up'!$G$4,$V35-4,0))</f>
        <v>0</v>
      </c>
      <c r="I35" s="168" t="str">
        <f ca="1">IF(ISERROR($V35),"",OFFSET('Smelter Look-up'!$H$4,$V35-4,0))</f>
        <v>Chenzhou</v>
      </c>
      <c r="J35" s="168" t="str">
        <f ca="1">IF(ISERROR($V35),"",OFFSET('Smelter Look-up'!$I$4,$V35-4,0))</f>
        <v>Hunan Sheng</v>
      </c>
      <c r="K35" s="207"/>
      <c r="L35" s="207"/>
      <c r="M35" s="207"/>
      <c r="N35" s="207"/>
      <c r="O35" s="207"/>
      <c r="P35" s="169"/>
      <c r="Q35" s="208"/>
      <c r="R35" s="166" t="str">
        <f ca="1">IF(ISERROR($V35),"",OFFSET('Smelter Look-up'!$C$4,$V35-4,0)&amp;"")</f>
        <v>Chenzhou Yunxiang Mining and Metallurgy Co., Ltd.</v>
      </c>
      <c r="S35" s="165" t="str">
        <f t="shared" ca="1" si="2"/>
        <v>CN</v>
      </c>
      <c r="T35" s="165" t="str">
        <f ca="1">IF(B35="","",IF(ISERROR(MATCH($J35,SorP!$B$1:$B$6261,0)),"",INDIRECT("'SorP'!$A$"&amp;MATCH($S35&amp;$J35,SorP!C:C,0))))</f>
        <v>CN-HN</v>
      </c>
      <c r="U35" s="185"/>
      <c r="V35" s="209">
        <f ca="1">IF(C35="",NA(),IF(OR(C35="Smelter not listed",C35="Smelter not yet identified"),MATCH($B35&amp;$D35,'Smelter Look-up'!$J:$J,0),MATCH($B35&amp;$C35,'Smelter Look-up'!$J:$J,0)))</f>
        <v>428</v>
      </c>
      <c r="X35" s="210">
        <f t="shared" ca="1" si="3"/>
        <v>0</v>
      </c>
      <c r="AB35" s="211" t="str">
        <f t="shared" ca="1" si="4"/>
        <v>TinChenzhou Yunxiang Mining and Metallurgy Co., Ltd.</v>
      </c>
    </row>
    <row r="36" spans="1:28" s="210" customFormat="1" ht="22.5" customHeight="1">
      <c r="A36" s="165" t="s">
        <v>742</v>
      </c>
      <c r="B36" s="166" t="str">
        <f ca="1">IF(LEN(A36)=0,"",INDEX('Smelter Look-up'!$A:$A,MATCH($A36,'Smelter Look-up'!$E:$E,0)))</f>
        <v>Tin</v>
      </c>
      <c r="C36" s="170" t="str">
        <f ca="1">IF(LEN(A36)=0,"",INDEX('Smelter Look-up'!$C:$C,MATCH($A36,'Smelter Look-up'!$E:$E,0)))</f>
        <v>China Tin Group Co., Ltd.</v>
      </c>
      <c r="D36" s="213"/>
      <c r="E36" s="166" t="str">
        <f ca="1">IF(ISERROR($V36),"",OFFSET('Smelter Look-up'!$D$4,$V36-4,0)&amp;"")</f>
        <v>CHINA</v>
      </c>
      <c r="F36" s="166" t="str">
        <f ca="1">IF(ISERROR($V36),"",OFFSET('Smelter Look-up'!$E$4,$V36-4,0))</f>
        <v>CID001070</v>
      </c>
      <c r="G36" s="166" t="str">
        <f ca="1">IF(C36=$X$4,IF(ISERROR($V36),"Enter smelter details","RMI"),IF(ISERROR($V36),"",OFFSET('Smelter Look-up'!$F$4,$V36-4,0)))</f>
        <v>RMI</v>
      </c>
      <c r="H36" s="167">
        <f ca="1">IF(ISERROR($V36),"",OFFSET('Smelter Look-up'!$G$4,$V36-4,0))</f>
        <v>0</v>
      </c>
      <c r="I36" s="168" t="str">
        <f ca="1">IF(ISERROR($V36),"",OFFSET('Smelter Look-up'!$H$4,$V36-4,0))</f>
        <v>Laibin</v>
      </c>
      <c r="J36" s="168" t="str">
        <f ca="1">IF(ISERROR($V36),"",OFFSET('Smelter Look-up'!$I$4,$V36-4,0))</f>
        <v>Guangxi Zhuangzu Zizhiqu</v>
      </c>
      <c r="K36" s="207"/>
      <c r="L36" s="207"/>
      <c r="M36" s="207"/>
      <c r="N36" s="207"/>
      <c r="O36" s="207"/>
      <c r="P36" s="169"/>
      <c r="Q36" s="208"/>
      <c r="R36" s="166" t="str">
        <f ca="1">IF(ISERROR($V36),"",OFFSET('Smelter Look-up'!$C$4,$V36-4,0)&amp;"")</f>
        <v>China Tin Group Co., Ltd.</v>
      </c>
      <c r="S36" s="165" t="str">
        <f t="shared" ca="1" si="2"/>
        <v>CN</v>
      </c>
      <c r="T36" s="165" t="str">
        <f ca="1">IF(B36="","",IF(ISERROR(MATCH($J36,SorP!$B$1:$B$6261,0)),"",INDIRECT("'SorP'!$A$"&amp;MATCH($S36&amp;$J36,SorP!C:C,0))))</f>
        <v>CN-GX</v>
      </c>
      <c r="U36" s="185"/>
      <c r="V36" s="209">
        <f ca="1">IF(C36="",NA(),IF(OR(C36="Smelter not listed",C36="Smelter not yet identified"),MATCH($B36&amp;$D36,'Smelter Look-up'!$J:$J,0),MATCH($B36&amp;$C36,'Smelter Look-up'!$J:$J,0)))</f>
        <v>431</v>
      </c>
      <c r="X36" s="210">
        <f t="shared" ca="1" si="3"/>
        <v>0</v>
      </c>
      <c r="AB36" s="211" t="str">
        <f t="shared" ca="1" si="4"/>
        <v>TinChina Tin Group Co., Ltd.</v>
      </c>
    </row>
    <row r="37" spans="1:28" s="210" customFormat="1" ht="27.75" customHeight="1">
      <c r="A37" s="165" t="s">
        <v>1356</v>
      </c>
      <c r="B37" s="166" t="str">
        <f ca="1">IF(LEN(A37)=0,"",INDEX('Smelter Look-up'!$A:$A,MATCH($A37,'Smelter Look-up'!$E:$E,0)))</f>
        <v>Tin</v>
      </c>
      <c r="C37" s="170" t="str">
        <f ca="1">IF(LEN(A37)=0,"",INDEX('Smelter Look-up'!$C:$C,MATCH($A37,'Smelter Look-up'!$E:$E,0)))</f>
        <v>PT ATD Makmur Mandiri Jaya</v>
      </c>
      <c r="D37" s="213"/>
      <c r="E37" s="166" t="str">
        <f ca="1">IF(ISERROR($V37),"",OFFSET('Smelter Look-up'!$D$4,$V37-4,0)&amp;"")</f>
        <v>INDONESIA</v>
      </c>
      <c r="F37" s="166" t="str">
        <f ca="1">IF(ISERROR($V37),"",OFFSET('Smelter Look-up'!$E$4,$V37-4,0))</f>
        <v>CID002503</v>
      </c>
      <c r="G37" s="166" t="str">
        <f ca="1">IF(C37=$X$4,IF(ISERROR($V37),"Enter smelter details","RMI"),IF(ISERROR($V37),"",OFFSET('Smelter Look-up'!$F$4,$V37-4,0)))</f>
        <v>RMI</v>
      </c>
      <c r="H37" s="167">
        <f ca="1">IF(ISERROR($V37),"",OFFSET('Smelter Look-up'!$G$4,$V37-4,0))</f>
        <v>0</v>
      </c>
      <c r="I37" s="168" t="str">
        <f ca="1">IF(ISERROR($V37),"",OFFSET('Smelter Look-up'!$H$4,$V37-4,0))</f>
        <v>Sungailiat</v>
      </c>
      <c r="J37" s="168" t="str">
        <f ca="1">IF(ISERROR($V37),"",OFFSET('Smelter Look-up'!$I$4,$V37-4,0))</f>
        <v>Kepulauan Bangka Belitung</v>
      </c>
      <c r="K37" s="207"/>
      <c r="L37" s="207"/>
      <c r="M37" s="207"/>
      <c r="N37" s="207"/>
      <c r="O37" s="207"/>
      <c r="P37" s="169"/>
      <c r="Q37" s="208"/>
      <c r="R37" s="166" t="str">
        <f ca="1">IF(ISERROR($V37),"",OFFSET('Smelter Look-up'!$C$4,$V37-4,0)&amp;"")</f>
        <v>PT ATD Makmur Mandiri Jaya</v>
      </c>
      <c r="S37" s="165" t="str">
        <f t="shared" ca="1" si="2"/>
        <v>ID</v>
      </c>
      <c r="T37" s="165" t="str">
        <f ca="1">IF(B37="","",IF(ISERROR(MATCH($J37,SorP!$B$1:$B$6261,0)),"",INDIRECT("'SorP'!$A$"&amp;MATCH($S37&amp;$J37,SorP!C:C,0))))</f>
        <v>ID-BB</v>
      </c>
      <c r="U37" s="185"/>
      <c r="V37" s="209">
        <f ca="1">IF(C37="",NA(),IF(OR(C37="Smelter not listed",C37="Smelter not yet identified"),MATCH($B37&amp;$D37,'Smelter Look-up'!$J:$J,0),MATCH($B37&amp;$C37,'Smelter Look-up'!$J:$J,0)))</f>
        <v>520</v>
      </c>
      <c r="X37" s="210">
        <f t="shared" ca="1" si="3"/>
        <v>0</v>
      </c>
      <c r="AB37" s="211" t="str">
        <f t="shared" ca="1" si="4"/>
        <v>TinPT ATD Makmur Mandiri Jaya</v>
      </c>
    </row>
    <row r="38" spans="1:28" s="210" customFormat="1" ht="25.5" customHeight="1">
      <c r="A38" s="165" t="s">
        <v>14873</v>
      </c>
      <c r="B38" s="166" t="str">
        <f ca="1">IF(LEN(A38)=0,"",INDEX('Smelter Look-up'!$A:$A,MATCH($A38,'Smelter Look-up'!$E:$E,0)))</f>
        <v>Tin</v>
      </c>
      <c r="C38" s="170" t="str">
        <f ca="1">IF(LEN(A38)=0,"",INDEX('Smelter Look-up'!$C:$C,MATCH($A38,'Smelter Look-up'!$E:$E,0)))</f>
        <v>PT Putera Sarana Shakti (PT PSS)</v>
      </c>
      <c r="D38" s="213"/>
      <c r="E38" s="166" t="str">
        <f ca="1">IF(ISERROR($V38),"",OFFSET('Smelter Look-up'!$D$4,$V38-4,0)&amp;"")</f>
        <v>INDONESIA</v>
      </c>
      <c r="F38" s="166" t="str">
        <f ca="1">IF(ISERROR($V38),"",OFFSET('Smelter Look-up'!$E$4,$V38-4,0))</f>
        <v>CID003868</v>
      </c>
      <c r="G38" s="166" t="str">
        <f ca="1">IF(C38=$X$4,IF(ISERROR($V38),"Enter smelter details","RMI"),IF(ISERROR($V38),"",OFFSET('Smelter Look-up'!$F$4,$V38-4,0)))</f>
        <v>RMI</v>
      </c>
      <c r="H38" s="167">
        <f ca="1">IF(ISERROR($V38),"",OFFSET('Smelter Look-up'!$G$4,$V38-4,0))</f>
        <v>0</v>
      </c>
      <c r="I38" s="168" t="str">
        <f ca="1">IF(ISERROR($V38),"",OFFSET('Smelter Look-up'!$H$4,$V38-4,0))</f>
        <v>Sungailiat</v>
      </c>
      <c r="J38" s="168" t="str">
        <f ca="1">IF(ISERROR($V38),"",OFFSET('Smelter Look-up'!$I$4,$V38-4,0))</f>
        <v>Kepulauan Bangka Belitung</v>
      </c>
      <c r="K38" s="207"/>
      <c r="L38" s="207"/>
      <c r="M38" s="207"/>
      <c r="N38" s="207"/>
      <c r="O38" s="207"/>
      <c r="P38" s="169"/>
      <c r="Q38" s="208"/>
      <c r="R38" s="166" t="str">
        <f ca="1">IF(ISERROR($V38),"",OFFSET('Smelter Look-up'!$C$4,$V38-4,0)&amp;"")</f>
        <v>PT Putera Sarana Shakti (PT PSS)</v>
      </c>
      <c r="S38" s="165" t="str">
        <f t="shared" ref="S38:S68" ca="1" si="5">IF(B38="","",IF(ISERROR(MATCH($E38,CL,0)),"Unknown",INDIRECT("'C'!$A$"&amp;MATCH($E38,CL,0)+1)))</f>
        <v>ID</v>
      </c>
      <c r="T38" s="165" t="str">
        <f ca="1">IF(B38="","",IF(ISERROR(MATCH($J38,SorP!$B$1:$B$6261,0)),"",INDIRECT("'SorP'!$A$"&amp;MATCH($S38&amp;$J38,SorP!C:C,0))))</f>
        <v>ID-BB</v>
      </c>
      <c r="U38" s="185"/>
      <c r="V38" s="209">
        <f ca="1">IF(C38="",NA(),IF(OR(C38="Smelter not listed",C38="Smelter not yet identified"),MATCH($B38&amp;$D38,'Smelter Look-up'!$J:$J,0),MATCH($B38&amp;$C38,'Smelter Look-up'!$J:$J,0)))</f>
        <v>528</v>
      </c>
      <c r="X38" s="210">
        <f t="shared" ref="X38:X68" ca="1" si="6">IF(AND(C38="Smelter not listed",OR(LEN(D38)=0,LEN(E38)=0)),1,0)</f>
        <v>0</v>
      </c>
      <c r="AB38" s="211" t="str">
        <f t="shared" ref="AB38:AB68" ca="1" si="7">B38&amp;C38</f>
        <v>TinPT Putera Sarana Shakti (PT PSS)</v>
      </c>
    </row>
    <row r="39" spans="1:28" s="210" customFormat="1" ht="24" customHeight="1">
      <c r="A39" s="165" t="s">
        <v>696</v>
      </c>
      <c r="B39" s="166" t="str">
        <f ca="1">IF(LEN(A39)=0,"",INDEX('Smelter Look-up'!$A:$A,MATCH($A39,'Smelter Look-up'!$E:$E,0)))</f>
        <v>Gold</v>
      </c>
      <c r="C39" s="170" t="str">
        <f ca="1">IF(LEN(A39)=0,"",INDEX('Smelter Look-up'!$C:$C,MATCH($A39,'Smelter Look-up'!$E:$E,0)))</f>
        <v>Royal Canadian Mint</v>
      </c>
      <c r="D39" s="213"/>
      <c r="E39" s="166" t="str">
        <f ca="1">IF(ISERROR($V39),"",OFFSET('Smelter Look-up'!$D$4,$V39-4,0)&amp;"")</f>
        <v>CANADA</v>
      </c>
      <c r="F39" s="166" t="str">
        <f ca="1">IF(ISERROR($V39),"",OFFSET('Smelter Look-up'!$E$4,$V39-4,0))</f>
        <v>CID001534</v>
      </c>
      <c r="G39" s="166" t="str">
        <f ca="1">IF(C39=$X$4,IF(ISERROR($V39),"Enter smelter details","RMI"),IF(ISERROR($V39),"",OFFSET('Smelter Look-up'!$F$4,$V39-4,0)))</f>
        <v>RMI</v>
      </c>
      <c r="H39" s="167">
        <f ca="1">IF(ISERROR($V39),"",OFFSET('Smelter Look-up'!$G$4,$V39-4,0))</f>
        <v>0</v>
      </c>
      <c r="I39" s="168" t="str">
        <f ca="1">IF(ISERROR($V39),"",OFFSET('Smelter Look-up'!$H$4,$V39-4,0))</f>
        <v>Ottawa</v>
      </c>
      <c r="J39" s="168" t="str">
        <f ca="1">IF(ISERROR($V39),"",OFFSET('Smelter Look-up'!$I$4,$V39-4,0))</f>
        <v>Ontario</v>
      </c>
      <c r="K39" s="207"/>
      <c r="L39" s="207"/>
      <c r="M39" s="207"/>
      <c r="N39" s="207"/>
      <c r="O39" s="207"/>
      <c r="P39" s="169"/>
      <c r="Q39" s="208"/>
      <c r="R39" s="166" t="str">
        <f ca="1">IF(ISERROR($V39),"",OFFSET('Smelter Look-up'!$C$4,$V39-4,0)&amp;"")</f>
        <v>Royal Canadian Mint</v>
      </c>
      <c r="S39" s="165" t="str">
        <f t="shared" ca="1" si="5"/>
        <v>CA</v>
      </c>
      <c r="T39" s="165" t="str">
        <f ca="1">IF(B39="","",IF(ISERROR(MATCH($J39,SorP!$B$1:$B$6261,0)),"",INDIRECT("'SorP'!$A$"&amp;MATCH($S39&amp;$J39,SorP!C:C,0))))</f>
        <v>CA-ON</v>
      </c>
      <c r="U39" s="185"/>
      <c r="V39" s="209">
        <f ca="1">IF(C39="",NA(),IF(OR(C39="Smelter not listed",C39="Smelter not yet identified"),MATCH($B39&amp;$D39,'Smelter Look-up'!$J:$J,0),MATCH($B39&amp;$C39,'Smelter Look-up'!$J:$J,0)))</f>
        <v>245</v>
      </c>
      <c r="X39" s="210">
        <f t="shared" ca="1" si="6"/>
        <v>0</v>
      </c>
      <c r="AB39" s="211" t="str">
        <f t="shared" ca="1" si="7"/>
        <v>GoldRoyal Canadian Mint</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BA3554C-0B42-4CB4-9E3E-3D0380AD2573}"/>
    </customSheetView>
  </customSheetViews>
  <mergeCells count="3">
    <mergeCell ref="J2:O2"/>
    <mergeCell ref="B3:E3"/>
    <mergeCell ref="G3:I3"/>
  </mergeCells>
  <conditionalFormatting sqref="B6:B2504">
    <cfRule type="expression" dxfId="26" priority="11" stopIfTrue="1">
      <formula>IF(B6="",TRUE)</formula>
    </cfRule>
    <cfRule type="expression" dxfId="25" priority="12" stopIfTrue="1">
      <formula>IF(AND(COUNTIF(MetalSmelter,B6&amp;C6)=0,LEN(C6)&gt;0),TRUE,FALSE)</formula>
    </cfRule>
  </conditionalFormatting>
  <conditionalFormatting sqref="C6:C2504">
    <cfRule type="expression" dxfId="24" priority="19" stopIfTrue="1">
      <formula>IF(AND(B6&lt;&gt;"",C6=""),TRUE)</formula>
    </cfRule>
  </conditionalFormatting>
  <conditionalFormatting sqref="D6:D2504">
    <cfRule type="expression" dxfId="23" priority="23" stopIfTrue="1">
      <formula>IF(AND(LEN($C6)&gt;0,AND($C6&lt;&gt;"Smelter Not Listed",ISBLANK($D6))),1,0)</formula>
    </cfRule>
    <cfRule type="expression" dxfId="22" priority="30" stopIfTrue="1">
      <formula>IF(AND(D6="",$C6=$X$4),TRUE)</formula>
    </cfRule>
    <cfRule type="expression" dxfId="21" priority="31" stopIfTrue="1">
      <formula>IF(FIND("!",D6),TRUE)</formula>
    </cfRule>
  </conditionalFormatting>
  <conditionalFormatting sqref="E6:E2504 R5:R2504">
    <cfRule type="expression" dxfId="20" priority="17" stopIfTrue="1">
      <formula>IF(AND(E5="",$C5=$X$4),TRUE)</formula>
    </cfRule>
    <cfRule type="expression" dxfId="19" priority="18" stopIfTrue="1">
      <formula>IF(FIND("!",E5),TRUE)</formula>
    </cfRule>
  </conditionalFormatting>
  <conditionalFormatting sqref="F6:F2504">
    <cfRule type="expression" dxfId="18" priority="15" stopIfTrue="1">
      <formula>IF(AND(LEN($A6)&gt;0,$A6&lt;&gt;$F6),TRUE,FALSE)</formula>
    </cfRule>
  </conditionalFormatting>
  <conditionalFormatting sqref="G6:G2504">
    <cfRule type="expression" dxfId="17" priority="32" stopIfTrue="1">
      <formula>IF(FIND("Enter smelter details",G6),TRUE)</formula>
    </cfRule>
  </conditionalFormatting>
  <conditionalFormatting sqref="D5">
    <cfRule type="expression" dxfId="16" priority="8" stopIfTrue="1">
      <formula>IF(AND(LEN($C5)&gt;0,AND($C5&lt;&gt;"Smelter Not Listed",ISBLANK($D5))),1,0)</formula>
    </cfRule>
    <cfRule type="expression" dxfId="15" priority="9" stopIfTrue="1">
      <formula>IF(AND(D5="",$C5=$X$4),TRUE)</formula>
    </cfRule>
    <cfRule type="expression" dxfId="14" priority="10" stopIfTrue="1">
      <formula>IF(FIND("!",D5),TRUE)</formula>
    </cfRule>
  </conditionalFormatting>
  <conditionalFormatting sqref="E5">
    <cfRule type="expression" dxfId="13" priority="6" stopIfTrue="1">
      <formula>IF(AND(E5="",$C5=$X$4),TRUE)</formula>
    </cfRule>
    <cfRule type="expression" dxfId="12" priority="7" stopIfTrue="1">
      <formula>IF(FIND("!",E5),TRUE)</formula>
    </cfRule>
  </conditionalFormatting>
  <conditionalFormatting sqref="B5">
    <cfRule type="expression" dxfId="11" priority="1" stopIfTrue="1">
      <formula>IF(B5="",TRUE)</formula>
    </cfRule>
    <cfRule type="expression" dxfId="10" priority="2" stopIfTrue="1">
      <formula>IF(AND(COUNTIF(MetalSmelter,B5&amp;C5)=0,LEN(C5)&gt;0),TRUE,FALSE)</formula>
    </cfRule>
  </conditionalFormatting>
  <conditionalFormatting sqref="C5">
    <cfRule type="expression" dxfId="9" priority="4" stopIfTrue="1">
      <formula>IF(AND(B5&lt;&gt;"",C5=""),TRUE)</formula>
    </cfRule>
  </conditionalFormatting>
  <conditionalFormatting sqref="F5">
    <cfRule type="expression" dxfId="8" priority="3" stopIfTrue="1">
      <formula>IF(AND(LEN($A5)&gt;0,$A5&lt;&gt;$F5),TRUE,FALSE)</formula>
    </cfRule>
  </conditionalFormatting>
  <conditionalFormatting sqref="G5">
    <cfRule type="expression" dxfId="7" priority="5"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6" stopIfTrue="1" id="{3A2C08C1-A3CB-4039-99D1-6146192A6F94}">
            <xm:f>IF(OR(AND(B6="Tantalum",Declaration!$P$38=""),AND(B6="Tin",Declaration!$P$39=""),AND(B6="Gold",Declaration!$P$40=""),AND(B6="Tungsten",Declaration!$P$41="")),TRUE,FALSE)</xm:f>
            <x14:dxf>
              <fill>
                <patternFill>
                  <bgColor rgb="FFFF0000"/>
                </patternFill>
              </fill>
            </x14:dxf>
          </x14:cfRule>
          <xm:sqref>B6:B2504</xm:sqref>
        </x14:conditionalFormatting>
        <x14:conditionalFormatting xmlns:xm="http://schemas.microsoft.com/office/excel/2006/main">
          <x14:cfRule type="expression" priority="14" stopIfTrue="1" id="{4DF03B03-3E0F-40B2-A5D1-B1DA6639A4FD}">
            <xm:f>IF(OR(AND(B6="Tantalum",Declaration!$P$38=""),AND(B6="Tin",Declaration!$P$39=""),AND(B6="Gold",Declaration!$P$40=""),AND(B6="Tungsten",Declaration!$P$41="")),TRUE,FALSE)</xm:f>
            <x14:dxf>
              <fill>
                <patternFill>
                  <bgColor rgb="FFFF0000"/>
                </patternFill>
              </fill>
            </x14:dxf>
          </x14:cfRule>
          <xm:sqref>C6:C2504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Vogt AG Verbindungstechnik</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Adolfo Esposito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a.esposito@vogt.ch</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+41 62 285 74 48</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Adolfo Esposito</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a.esposito@vogt.ch</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 xml:space="preserve">https://www.vogt.ch/en/Downloads/Certificates </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5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3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56.2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Esposito Adolfo</cp:lastModifiedBy>
  <cp:lastPrinted>2015-04-21T20:47:43Z</cp:lastPrinted>
  <dcterms:created xsi:type="dcterms:W3CDTF">2010-06-21T21:00:23Z</dcterms:created>
  <dcterms:modified xsi:type="dcterms:W3CDTF">2026-05-13T06:20:11Z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